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workbookProtection lockStructure="1"/>
  <bookViews>
    <workbookView xWindow="240" yWindow="105" windowWidth="14805" windowHeight="8010"/>
  </bookViews>
  <sheets>
    <sheet name="Índice" sheetId="1" r:id="rId1"/>
    <sheet name="Fuerzas de la Luz" sheetId="21" r:id="rId2"/>
    <sheet name="Huestes de la Oscuridad" sheetId="22" r:id="rId3"/>
    <sheet name="Minas Tirith" sheetId="2" r:id="rId4"/>
    <sheet name="Los Feudos" sheetId="3" r:id="rId5"/>
    <sheet name="Rohan" sheetId="4" r:id="rId6"/>
    <sheet name="Arnor" sheetId="5" r:id="rId7"/>
    <sheet name="Númenor" sheetId="6" r:id="rId8"/>
    <sheet name="Eregion y Rivendell" sheetId="7" r:id="rId9"/>
    <sheet name="Lothlórien y el Bosque Negro" sheetId="8" r:id="rId10"/>
    <sheet name="El Pueblo de Durin" sheetId="9" r:id="rId11"/>
    <sheet name="La Comarca" sheetId="10" r:id="rId12"/>
    <sheet name="La Comunidad del Anillo" sheetId="11" r:id="rId13"/>
    <sheet name="Los Caminantes Infatigables" sheetId="12" r:id="rId14"/>
    <sheet name="El Concilio Blanco" sheetId="13" r:id="rId15"/>
    <sheet name="El Hobbit Luz" sheetId="23" r:id="rId16"/>
    <sheet name="Mordor" sheetId="14" r:id="rId17"/>
    <sheet name="Isengard" sheetId="15" r:id="rId18"/>
    <sheet name="Harad y Umbar" sheetId="16" r:id="rId19"/>
    <sheet name="Los Reinos del Este" sheetId="17" r:id="rId20"/>
    <sheet name="Moria" sheetId="18" r:id="rId21"/>
    <sheet name="Angmar" sheetId="20" r:id="rId22"/>
    <sheet name="El Hobbit Oscuridad" sheetId="24" r:id="rId23"/>
  </sheets>
  <calcPr calcId="125725"/>
</workbook>
</file>

<file path=xl/calcChain.xml><?xml version="1.0" encoding="utf-8"?>
<calcChain xmlns="http://schemas.openxmlformats.org/spreadsheetml/2006/main">
  <c r="F45" i="21"/>
  <c r="L27" i="22"/>
  <c r="J27"/>
  <c r="H27"/>
  <c r="F27"/>
  <c r="L17" i="24"/>
  <c r="L16"/>
  <c r="L15"/>
  <c r="L14"/>
  <c r="L13"/>
  <c r="L9"/>
  <c r="L10"/>
  <c r="L11"/>
  <c r="L12"/>
  <c r="L8"/>
  <c r="L7"/>
  <c r="L6"/>
  <c r="L5"/>
  <c r="L4"/>
  <c r="L3"/>
  <c r="L2"/>
  <c r="M14"/>
  <c r="M12"/>
  <c r="M11"/>
  <c r="M10"/>
  <c r="M9"/>
  <c r="M8"/>
  <c r="M7"/>
  <c r="M3"/>
  <c r="M4"/>
  <c r="M5"/>
  <c r="R37" i="23"/>
  <c r="K23" i="24"/>
  <c r="K20"/>
  <c r="T34" i="23"/>
  <c r="S34"/>
  <c r="R34"/>
  <c r="L20" i="24" l="1"/>
  <c r="M20"/>
  <c r="L45" i="21"/>
  <c r="H45"/>
  <c r="J45"/>
  <c r="S31" i="23"/>
  <c r="S30"/>
  <c r="S29"/>
  <c r="S28"/>
  <c r="T27"/>
  <c r="S27"/>
  <c r="T26"/>
  <c r="S26"/>
  <c r="T25"/>
  <c r="S25"/>
  <c r="T24"/>
  <c r="S24"/>
  <c r="T23"/>
  <c r="S23"/>
  <c r="T22"/>
  <c r="S22"/>
  <c r="T21"/>
  <c r="S21"/>
  <c r="T20"/>
  <c r="S20"/>
  <c r="T19"/>
  <c r="S19"/>
  <c r="T18"/>
  <c r="S18"/>
  <c r="T17"/>
  <c r="S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T7"/>
  <c r="S7"/>
  <c r="T6"/>
  <c r="S6"/>
  <c r="T5"/>
  <c r="S5"/>
  <c r="T4"/>
  <c r="S4"/>
  <c r="T3"/>
  <c r="S3"/>
  <c r="T2"/>
  <c r="S2"/>
  <c r="M13" i="24"/>
  <c r="M2"/>
  <c r="M6"/>
  <c r="Q2" i="17" l="1"/>
  <c r="H12" i="22" l="1"/>
  <c r="V27" i="15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V2"/>
  <c r="W2"/>
  <c r="W30" s="1"/>
  <c r="L12" i="22" s="1"/>
  <c r="W3" i="15"/>
  <c r="W4"/>
  <c r="W5"/>
  <c r="W6"/>
  <c r="W7"/>
  <c r="W8"/>
  <c r="W9"/>
  <c r="W10"/>
  <c r="W11"/>
  <c r="W12"/>
  <c r="W13"/>
  <c r="W14"/>
  <c r="W15"/>
  <c r="U30"/>
  <c r="U33" s="1"/>
  <c r="J12" i="22" s="1"/>
  <c r="V30" i="15" l="1"/>
  <c r="F12" i="22" s="1"/>
  <c r="P17" i="7"/>
  <c r="H24" i="21" s="1"/>
  <c r="D14" i="12"/>
  <c r="H39" i="21" s="1"/>
  <c r="V18" i="20" l="1"/>
  <c r="H24" i="22" s="1"/>
  <c r="W15" i="20"/>
  <c r="W14"/>
  <c r="W13"/>
  <c r="W12"/>
  <c r="W11"/>
  <c r="X10"/>
  <c r="W10"/>
  <c r="X9"/>
  <c r="W9"/>
  <c r="X8"/>
  <c r="W8"/>
  <c r="X7"/>
  <c r="W7"/>
  <c r="X6"/>
  <c r="W6"/>
  <c r="X5"/>
  <c r="W5"/>
  <c r="X4"/>
  <c r="W4"/>
  <c r="X3"/>
  <c r="W3"/>
  <c r="X2"/>
  <c r="X18" s="1"/>
  <c r="L24" i="22" s="1"/>
  <c r="W2" i="20"/>
  <c r="W18" s="1"/>
  <c r="F24" i="22" s="1"/>
  <c r="M29" i="18"/>
  <c r="N26"/>
  <c r="N25"/>
  <c r="N24"/>
  <c r="N23"/>
  <c r="N22"/>
  <c r="N21"/>
  <c r="N20"/>
  <c r="N19"/>
  <c r="N18"/>
  <c r="N17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O4"/>
  <c r="N4"/>
  <c r="O3"/>
  <c r="N3"/>
  <c r="O2"/>
  <c r="O29" s="1"/>
  <c r="L21" i="22" s="1"/>
  <c r="N2" i="18"/>
  <c r="N29" s="1"/>
  <c r="F21" i="22" s="1"/>
  <c r="V21" i="20" l="1"/>
  <c r="J24" i="22" s="1"/>
  <c r="M32" i="18"/>
  <c r="J21" i="22" s="1"/>
  <c r="H21"/>
  <c r="P19" i="17"/>
  <c r="J18" i="22" s="1"/>
  <c r="P16" i="17"/>
  <c r="H18" i="22" s="1"/>
  <c r="Q13" i="17"/>
  <c r="Q12"/>
  <c r="Q11"/>
  <c r="Q10"/>
  <c r="Q9"/>
  <c r="R8"/>
  <c r="Q8"/>
  <c r="R7"/>
  <c r="Q7"/>
  <c r="R6"/>
  <c r="Q6"/>
  <c r="R5"/>
  <c r="Q5"/>
  <c r="R4"/>
  <c r="Q4"/>
  <c r="R3"/>
  <c r="Q3"/>
  <c r="R2"/>
  <c r="R16" s="1"/>
  <c r="L18" i="22" s="1"/>
  <c r="Q16" i="17"/>
  <c r="F18" i="22" s="1"/>
  <c r="AC31" i="16"/>
  <c r="H15" i="22" s="1"/>
  <c r="AD28" i="16"/>
  <c r="AD27"/>
  <c r="AD26"/>
  <c r="AD25"/>
  <c r="AD24"/>
  <c r="AD23"/>
  <c r="AD22"/>
  <c r="AD21"/>
  <c r="AD20"/>
  <c r="AD19"/>
  <c r="AD18"/>
  <c r="AD17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E4"/>
  <c r="AD4"/>
  <c r="AE3"/>
  <c r="AD3"/>
  <c r="AE2"/>
  <c r="AE31" s="1"/>
  <c r="L15" i="22" s="1"/>
  <c r="AD2" i="16"/>
  <c r="AD31" s="1"/>
  <c r="F15" i="22" s="1"/>
  <c r="AC34" i="16" l="1"/>
  <c r="J15" i="22" s="1"/>
  <c r="AM54" i="14"/>
  <c r="AN51"/>
  <c r="AN50"/>
  <c r="AN49"/>
  <c r="AN48"/>
  <c r="AN47"/>
  <c r="AN46"/>
  <c r="AN45"/>
  <c r="AN44"/>
  <c r="AN43"/>
  <c r="AN42"/>
  <c r="AN41"/>
  <c r="AN40"/>
  <c r="AN39"/>
  <c r="AN38"/>
  <c r="AN37"/>
  <c r="AO36"/>
  <c r="AN36"/>
  <c r="AO35"/>
  <c r="AN35"/>
  <c r="AO34"/>
  <c r="AN34"/>
  <c r="AO33"/>
  <c r="AN33"/>
  <c r="AO32"/>
  <c r="AN32"/>
  <c r="AO31"/>
  <c r="AN31"/>
  <c r="AO30"/>
  <c r="AN30"/>
  <c r="AO29"/>
  <c r="AN29"/>
  <c r="AO28"/>
  <c r="AN28"/>
  <c r="AO27"/>
  <c r="AN27"/>
  <c r="AO26"/>
  <c r="AN26"/>
  <c r="AO25"/>
  <c r="AN25"/>
  <c r="AO24"/>
  <c r="AN24"/>
  <c r="AO23"/>
  <c r="AN23"/>
  <c r="AO22"/>
  <c r="AN22"/>
  <c r="AO21"/>
  <c r="AN21"/>
  <c r="AO20"/>
  <c r="AN20"/>
  <c r="AO19"/>
  <c r="AN19"/>
  <c r="AO18"/>
  <c r="AN18"/>
  <c r="AO17"/>
  <c r="AN17"/>
  <c r="AO16"/>
  <c r="AN16"/>
  <c r="AO15"/>
  <c r="AN15"/>
  <c r="AO14"/>
  <c r="AN14"/>
  <c r="AO13"/>
  <c r="AN13"/>
  <c r="AO12"/>
  <c r="AN12"/>
  <c r="AO11"/>
  <c r="AN11"/>
  <c r="AO10"/>
  <c r="AN10"/>
  <c r="AO9"/>
  <c r="AN9"/>
  <c r="AO8"/>
  <c r="AN8"/>
  <c r="AO7"/>
  <c r="AN7"/>
  <c r="AO6"/>
  <c r="AN6"/>
  <c r="AO5"/>
  <c r="AN5"/>
  <c r="AO4"/>
  <c r="AN4"/>
  <c r="AO3"/>
  <c r="AN3"/>
  <c r="AO2"/>
  <c r="AO54" s="1"/>
  <c r="L9" i="22" s="1"/>
  <c r="L31" s="1"/>
  <c r="AN2" i="14"/>
  <c r="AN54" s="1"/>
  <c r="F9" i="22" s="1"/>
  <c r="F31" s="1"/>
  <c r="AM57" i="14" l="1"/>
  <c r="J9" i="22" s="1"/>
  <c r="J31" s="1"/>
  <c r="H9"/>
  <c r="H31" s="1"/>
  <c r="L16" i="13"/>
  <c r="N13"/>
  <c r="M13"/>
  <c r="N12"/>
  <c r="M12"/>
  <c r="N11"/>
  <c r="M11"/>
  <c r="N10"/>
  <c r="M10"/>
  <c r="N9"/>
  <c r="M9"/>
  <c r="N8"/>
  <c r="M8"/>
  <c r="N7"/>
  <c r="M7"/>
  <c r="N6"/>
  <c r="M6"/>
  <c r="N5"/>
  <c r="M5"/>
  <c r="N4"/>
  <c r="M4"/>
  <c r="N3"/>
  <c r="M3"/>
  <c r="N2"/>
  <c r="N16" s="1"/>
  <c r="L42" i="21" s="1"/>
  <c r="M2" i="13"/>
  <c r="M16" s="1"/>
  <c r="F42" i="21" s="1"/>
  <c r="D17" i="12"/>
  <c r="J39" i="21" s="1"/>
  <c r="E11" i="12"/>
  <c r="E10"/>
  <c r="E9"/>
  <c r="F8"/>
  <c r="E8"/>
  <c r="F7"/>
  <c r="E7"/>
  <c r="F6"/>
  <c r="E6"/>
  <c r="F5"/>
  <c r="E5"/>
  <c r="F4"/>
  <c r="E4"/>
  <c r="F3"/>
  <c r="E3"/>
  <c r="F2"/>
  <c r="F14" s="1"/>
  <c r="L39" i="21" s="1"/>
  <c r="E2" i="12"/>
  <c r="E14" s="1"/>
  <c r="F39" i="21" s="1"/>
  <c r="L16" i="11"/>
  <c r="N13"/>
  <c r="M13"/>
  <c r="N12"/>
  <c r="M12"/>
  <c r="N11"/>
  <c r="M11"/>
  <c r="N10"/>
  <c r="M10"/>
  <c r="N9"/>
  <c r="M9"/>
  <c r="N8"/>
  <c r="M8"/>
  <c r="N7"/>
  <c r="M7"/>
  <c r="N6"/>
  <c r="M6"/>
  <c r="N5"/>
  <c r="M5"/>
  <c r="N4"/>
  <c r="M4"/>
  <c r="N3"/>
  <c r="M3"/>
  <c r="N2"/>
  <c r="N16" s="1"/>
  <c r="L36" i="21" s="1"/>
  <c r="M2" i="11"/>
  <c r="M16" s="1"/>
  <c r="F36" i="21" s="1"/>
  <c r="I15" i="10"/>
  <c r="J12"/>
  <c r="J11"/>
  <c r="J10"/>
  <c r="K9"/>
  <c r="J9"/>
  <c r="K8"/>
  <c r="J8"/>
  <c r="K7"/>
  <c r="J7"/>
  <c r="K6"/>
  <c r="J6"/>
  <c r="K5"/>
  <c r="J5"/>
  <c r="K4"/>
  <c r="J4"/>
  <c r="K3"/>
  <c r="J3"/>
  <c r="K2"/>
  <c r="K15" s="1"/>
  <c r="L33" i="21" s="1"/>
  <c r="J2" i="10"/>
  <c r="J15" s="1"/>
  <c r="F33" i="21" s="1"/>
  <c r="S21" i="9"/>
  <c r="T18"/>
  <c r="T17"/>
  <c r="T16"/>
  <c r="T15"/>
  <c r="T14"/>
  <c r="T13"/>
  <c r="U12"/>
  <c r="T12"/>
  <c r="U11"/>
  <c r="T11"/>
  <c r="U10"/>
  <c r="T10"/>
  <c r="U9"/>
  <c r="T9"/>
  <c r="U8"/>
  <c r="T8"/>
  <c r="U7"/>
  <c r="T7"/>
  <c r="U6"/>
  <c r="T6"/>
  <c r="U5"/>
  <c r="T5"/>
  <c r="U4"/>
  <c r="T4"/>
  <c r="U3"/>
  <c r="T3"/>
  <c r="U2"/>
  <c r="U21" s="1"/>
  <c r="L30" i="21" s="1"/>
  <c r="T2" i="9"/>
  <c r="R19" i="8"/>
  <c r="S16"/>
  <c r="S15"/>
  <c r="S14"/>
  <c r="S13"/>
  <c r="S12"/>
  <c r="T11"/>
  <c r="S11"/>
  <c r="T10"/>
  <c r="S10"/>
  <c r="T9"/>
  <c r="S9"/>
  <c r="T8"/>
  <c r="S8"/>
  <c r="T7"/>
  <c r="S7"/>
  <c r="T6"/>
  <c r="S6"/>
  <c r="T5"/>
  <c r="S5"/>
  <c r="T4"/>
  <c r="S4"/>
  <c r="T3"/>
  <c r="S3"/>
  <c r="T2"/>
  <c r="T19" s="1"/>
  <c r="L27" i="21" s="1"/>
  <c r="S2" i="8"/>
  <c r="S19" s="1"/>
  <c r="F27" i="21" s="1"/>
  <c r="P20" i="7"/>
  <c r="J24" i="21" s="1"/>
  <c r="Q14" i="7"/>
  <c r="Q13"/>
  <c r="R12"/>
  <c r="Q12"/>
  <c r="R11"/>
  <c r="Q11"/>
  <c r="R10"/>
  <c r="Q10"/>
  <c r="R9"/>
  <c r="Q9"/>
  <c r="R8"/>
  <c r="Q8"/>
  <c r="R7"/>
  <c r="Q7"/>
  <c r="R6"/>
  <c r="Q6"/>
  <c r="R5"/>
  <c r="Q5"/>
  <c r="R4"/>
  <c r="Q4"/>
  <c r="R3"/>
  <c r="Q3"/>
  <c r="R2"/>
  <c r="R17" s="1"/>
  <c r="L24" i="21" s="1"/>
  <c r="Q2" i="7"/>
  <c r="Q17" s="1"/>
  <c r="F24" i="21" s="1"/>
  <c r="L19" i="13" l="1"/>
  <c r="J42" i="21" s="1"/>
  <c r="H42"/>
  <c r="L19" i="11"/>
  <c r="J36" i="21" s="1"/>
  <c r="H36"/>
  <c r="I18" i="10"/>
  <c r="J33" i="21" s="1"/>
  <c r="H33"/>
  <c r="T21" i="9"/>
  <c r="F30" i="21" s="1"/>
  <c r="S24" i="9"/>
  <c r="J30" i="21" s="1"/>
  <c r="H30"/>
  <c r="R22" i="8"/>
  <c r="J27" i="21" s="1"/>
  <c r="H27"/>
  <c r="J8" i="6"/>
  <c r="K5"/>
  <c r="L4"/>
  <c r="K4"/>
  <c r="L3"/>
  <c r="K3"/>
  <c r="L2"/>
  <c r="L8" s="1"/>
  <c r="L21" i="21" s="1"/>
  <c r="K2" i="6"/>
  <c r="K8" s="1"/>
  <c r="F21" i="21" s="1"/>
  <c r="L15" i="5"/>
  <c r="M12"/>
  <c r="M11"/>
  <c r="N10"/>
  <c r="M10"/>
  <c r="N9"/>
  <c r="M9"/>
  <c r="N8"/>
  <c r="M8"/>
  <c r="N7"/>
  <c r="M7"/>
  <c r="N6"/>
  <c r="M6"/>
  <c r="N5"/>
  <c r="M5"/>
  <c r="N4"/>
  <c r="M4"/>
  <c r="N3"/>
  <c r="M3"/>
  <c r="N2"/>
  <c r="N15" s="1"/>
  <c r="L18" i="21" s="1"/>
  <c r="M2" i="5"/>
  <c r="R22" i="4"/>
  <c r="S19"/>
  <c r="S18"/>
  <c r="S17"/>
  <c r="S16"/>
  <c r="S15"/>
  <c r="T14"/>
  <c r="S14"/>
  <c r="T13"/>
  <c r="S13"/>
  <c r="T12"/>
  <c r="S12"/>
  <c r="T11"/>
  <c r="S11"/>
  <c r="T10"/>
  <c r="S10"/>
  <c r="T9"/>
  <c r="S9"/>
  <c r="T8"/>
  <c r="S8"/>
  <c r="T7"/>
  <c r="S7"/>
  <c r="T6"/>
  <c r="S6"/>
  <c r="T5"/>
  <c r="S5"/>
  <c r="T4"/>
  <c r="S4"/>
  <c r="T3"/>
  <c r="S3"/>
  <c r="T2"/>
  <c r="T22" s="1"/>
  <c r="L15" i="21" s="1"/>
  <c r="S2" i="4"/>
  <c r="S22" s="1"/>
  <c r="F15" i="21" s="1"/>
  <c r="K17" i="3"/>
  <c r="L14"/>
  <c r="L13"/>
  <c r="L12"/>
  <c r="L11"/>
  <c r="L10"/>
  <c r="L9"/>
  <c r="L8"/>
  <c r="M7"/>
  <c r="L7"/>
  <c r="M6"/>
  <c r="L6"/>
  <c r="M5"/>
  <c r="L5"/>
  <c r="M4"/>
  <c r="L4"/>
  <c r="M3"/>
  <c r="L3"/>
  <c r="M2"/>
  <c r="M17" s="1"/>
  <c r="L12" i="21" s="1"/>
  <c r="L2" i="3"/>
  <c r="L17" s="1"/>
  <c r="F12" i="21" s="1"/>
  <c r="W24" i="2"/>
  <c r="H9" i="21" s="1"/>
  <c r="X21" i="2"/>
  <c r="X20"/>
  <c r="X19"/>
  <c r="X18"/>
  <c r="X17"/>
  <c r="X16"/>
  <c r="X15"/>
  <c r="X14"/>
  <c r="Y13"/>
  <c r="X13"/>
  <c r="Y12"/>
  <c r="X12"/>
  <c r="Y11"/>
  <c r="X11"/>
  <c r="Y10"/>
  <c r="X10"/>
  <c r="Y9"/>
  <c r="X9"/>
  <c r="Y8"/>
  <c r="X8"/>
  <c r="Y7"/>
  <c r="X7"/>
  <c r="Y6"/>
  <c r="X6"/>
  <c r="Y5"/>
  <c r="X5"/>
  <c r="Y4"/>
  <c r="X4"/>
  <c r="Y3"/>
  <c r="X3"/>
  <c r="Y2"/>
  <c r="Y24" s="1"/>
  <c r="L9" i="21" s="1"/>
  <c r="X2" i="2"/>
  <c r="X24" s="1"/>
  <c r="F9" i="21" s="1"/>
  <c r="L49" l="1"/>
  <c r="F49"/>
  <c r="J11" i="6"/>
  <c r="J21" i="21" s="1"/>
  <c r="H21"/>
  <c r="L18" i="5"/>
  <c r="J18" i="21" s="1"/>
  <c r="H18"/>
  <c r="R25" i="4"/>
  <c r="J15" i="21" s="1"/>
  <c r="H15"/>
  <c r="K20" i="3"/>
  <c r="J12" i="21" s="1"/>
  <c r="H12"/>
  <c r="M15" i="5"/>
  <c r="F18" i="21" s="1"/>
  <c r="W27" i="2"/>
  <c r="J9" i="21" s="1"/>
  <c r="H49" l="1"/>
  <c r="J49"/>
</calcChain>
</file>

<file path=xl/sharedStrings.xml><?xml version="1.0" encoding="utf-8"?>
<sst xmlns="http://schemas.openxmlformats.org/spreadsheetml/2006/main" count="877" uniqueCount="503">
  <si>
    <t>Puntos</t>
  </si>
  <si>
    <t>Arqueros</t>
  </si>
  <si>
    <t>Reinos de los hombres: Minas Tirith</t>
  </si>
  <si>
    <t>Coste</t>
  </si>
  <si>
    <t>Escudo</t>
  </si>
  <si>
    <t>Arco</t>
  </si>
  <si>
    <t>Arco largo</t>
  </si>
  <si>
    <t>Lanza</t>
  </si>
  <si>
    <t>Guerrero/Montaraz de Ithilien</t>
  </si>
  <si>
    <t>Cuerno de guerra</t>
  </si>
  <si>
    <t>Estandarte</t>
  </si>
  <si>
    <t>Caballo</t>
  </si>
  <si>
    <t>Caballo con barda</t>
  </si>
  <si>
    <t>Poni</t>
  </si>
  <si>
    <t>Armadura pesada</t>
  </si>
  <si>
    <t>Lanza de caballería</t>
  </si>
  <si>
    <t>El Estandarte de Minas Tirith</t>
  </si>
  <si>
    <t>Capa élfica</t>
  </si>
  <si>
    <t>Capitán de Ingenieros de Minas Tirith</t>
  </si>
  <si>
    <t>Construcción mejorada</t>
  </si>
  <si>
    <t>Munición indendiaria</t>
  </si>
  <si>
    <t>Veteranos de asedio</t>
  </si>
  <si>
    <t>Recarga rápida</t>
  </si>
  <si>
    <t xml:space="preserve">Miembro adicional </t>
  </si>
  <si>
    <t>Número de miniaturas</t>
  </si>
  <si>
    <t>Puntos de Poder</t>
  </si>
  <si>
    <t>Aragorn, Rey Elessar</t>
  </si>
  <si>
    <t>Faramir, Capitán de Gondor</t>
  </si>
  <si>
    <t>Peregrin, Guardia de la Ciudadela</t>
  </si>
  <si>
    <t>Boromir, Capitán de la Torre Blanca</t>
  </si>
  <si>
    <t>Madril, Capitán de Ithilien</t>
  </si>
  <si>
    <t>Damrod, Montaraz de Ithilien</t>
  </si>
  <si>
    <t>Denethor, Senescal de Gondor</t>
  </si>
  <si>
    <t>Beregond</t>
  </si>
  <si>
    <t>Cirion, Defensor de Amon Barad</t>
  </si>
  <si>
    <t>Caballero de la Torre Blanca</t>
  </si>
  <si>
    <t>Capitán de Minas Tirith</t>
  </si>
  <si>
    <t>Rey de los Hombres</t>
  </si>
  <si>
    <t>Guerrero de Minas Tirith</t>
  </si>
  <si>
    <t>Caballero de Minas Tirith</t>
  </si>
  <si>
    <t>Montaraz de Gondor</t>
  </si>
  <si>
    <t>Guardia de la Ciudadela</t>
  </si>
  <si>
    <t>Guardia del Patio del Manantial</t>
  </si>
  <si>
    <t>Veterano de Osgiliath</t>
  </si>
  <si>
    <t>Trebuchet Grito de Batalla</t>
  </si>
  <si>
    <t>Lanzavirotes Vengador</t>
  </si>
  <si>
    <t>Total</t>
  </si>
  <si>
    <t xml:space="preserve">Total </t>
  </si>
  <si>
    <t>Reinos de los hombres: Los Feudos</t>
  </si>
  <si>
    <t>Pica</t>
  </si>
  <si>
    <t>Príncipe Imrahil de Dol Amroth</t>
  </si>
  <si>
    <t>Forlong el Gordo</t>
  </si>
  <si>
    <t>Angbor el Intrépido</t>
  </si>
  <si>
    <t>Duinhir</t>
  </si>
  <si>
    <t>El Rey de los Muertos</t>
  </si>
  <si>
    <t>Capitán de Dol Amroth</t>
  </si>
  <si>
    <t>Caballero de Dol Amroth</t>
  </si>
  <si>
    <t>Hombre de armas de Dol Amroth</t>
  </si>
  <si>
    <t>Hachero de Lossarnach</t>
  </si>
  <si>
    <t>Montañés de Lamedon</t>
  </si>
  <si>
    <t>Arquero del Valle de la Raíz Negra</t>
  </si>
  <si>
    <t>Jinete de los Hombres Muertos</t>
  </si>
  <si>
    <t>Guerrero de los Hombres Muertos</t>
  </si>
  <si>
    <t>Reinos de los hombres: Rohan</t>
  </si>
  <si>
    <t>Venablo</t>
  </si>
  <si>
    <t>Helmingas</t>
  </si>
  <si>
    <t>Escudos Rojos de la Marca Oeste</t>
  </si>
  <si>
    <t>Armadura</t>
  </si>
  <si>
    <t>Estandarte Real de Rohan</t>
  </si>
  <si>
    <t>Cuerno de la Marca</t>
  </si>
  <si>
    <t>Théoden, Rey de Rohan</t>
  </si>
  <si>
    <t>Théodred, Heredero de Rohan</t>
  </si>
  <si>
    <t>Háma, Capitán de Rohan</t>
  </si>
  <si>
    <t>Éomer, Mariscal de la Marca</t>
  </si>
  <si>
    <t>Éomer, Caballero de los Pelennor</t>
  </si>
  <si>
    <t>Éowyn, Escudera de Rohan</t>
  </si>
  <si>
    <t>Grimbold de Grimslade</t>
  </si>
  <si>
    <t>Meriadoc, Caballero de la Marca</t>
  </si>
  <si>
    <t>Gamelin, Capitán de Rohan</t>
  </si>
  <si>
    <t>Erkenbrand, Capitán de Rohan</t>
  </si>
  <si>
    <t>Capitán de Rohan</t>
  </si>
  <si>
    <t>Cazador del Rey</t>
  </si>
  <si>
    <t>Eorl el Joven</t>
  </si>
  <si>
    <t>Jinete de Rohan</t>
  </si>
  <si>
    <t>Explorador de Rohan</t>
  </si>
  <si>
    <t>Guardia Real de Rohan</t>
  </si>
  <si>
    <t>Hijo de Eorl</t>
  </si>
  <si>
    <t>Guerrero de Rohan</t>
  </si>
  <si>
    <t>Reinos de los hombres: Arnor</t>
  </si>
  <si>
    <t>Espada élfica</t>
  </si>
  <si>
    <t>Estandarte de Arwen Estrella de la Tarde</t>
  </si>
  <si>
    <t>Arvedui, Último Rey de Arnor</t>
  </si>
  <si>
    <t>Malbeth el Vidente</t>
  </si>
  <si>
    <t>Arathorn</t>
  </si>
  <si>
    <t>Capitán de Arnor</t>
  </si>
  <si>
    <t>Aragorn, Heredero de Isildur</t>
  </si>
  <si>
    <t>Dúnadan</t>
  </si>
  <si>
    <t>Elladan y Elrohir</t>
  </si>
  <si>
    <t>Halbarad Dunádan</t>
  </si>
  <si>
    <t>Montaraz del Norte</t>
  </si>
  <si>
    <t>Montaraz de Arnor</t>
  </si>
  <si>
    <t>Guerrero de Arnor</t>
  </si>
  <si>
    <t>Reinos de los hombres: Númenor</t>
  </si>
  <si>
    <t>Elendil, Alto Rey de Gondor y Arnor</t>
  </si>
  <si>
    <t>Isildur</t>
  </si>
  <si>
    <t>Capitán de Númenor</t>
  </si>
  <si>
    <t>Guerrero de Númenor</t>
  </si>
  <si>
    <t>Los Pueblos Libres: Eregion y Rivendell</t>
  </si>
  <si>
    <t>Arco élfico</t>
  </si>
  <si>
    <t>Lanza/Lanza del Bosque Negro</t>
  </si>
  <si>
    <t>Guardias del Rey</t>
  </si>
  <si>
    <t>Exiliados de Noldor</t>
  </si>
  <si>
    <t>Caballo/Asfaloth</t>
  </si>
  <si>
    <t>Armadura de Gondolin</t>
  </si>
  <si>
    <t>Dagas arrojadizas</t>
  </si>
  <si>
    <t>Elrond</t>
  </si>
  <si>
    <t>Elrond, Señor de Rivendel</t>
  </si>
  <si>
    <t>Gil-Galad</t>
  </si>
  <si>
    <t>Erestor</t>
  </si>
  <si>
    <t>Círdan</t>
  </si>
  <si>
    <t>Arwern</t>
  </si>
  <si>
    <t>Glorfindel, Señor del Oeste</t>
  </si>
  <si>
    <t>Gildor Inglorion</t>
  </si>
  <si>
    <t>Invocatormentas Elfo</t>
  </si>
  <si>
    <t>Capitán Elfo</t>
  </si>
  <si>
    <t>Guerrero Elfo</t>
  </si>
  <si>
    <t>Guerrero Elfo de los Bosques</t>
  </si>
  <si>
    <t>Los Pueblos Libres:Lothlórien y el Bosque Negro</t>
  </si>
  <si>
    <t>Guardias/Caballeros de elite Galadhrim</t>
  </si>
  <si>
    <t>Guardias del Bosque Negro</t>
  </si>
  <si>
    <t>Espejo de Galadriel</t>
  </si>
  <si>
    <t>Galadriel</t>
  </si>
  <si>
    <t>Celeborn</t>
  </si>
  <si>
    <t>Haldir</t>
  </si>
  <si>
    <t>Haldir, Defensor del Abismo de Helm</t>
  </si>
  <si>
    <t>Rúmil</t>
  </si>
  <si>
    <t>Legolas</t>
  </si>
  <si>
    <t>Thranduil, Rey del Bosque Negro</t>
  </si>
  <si>
    <t>Capitán Elfo de los Bosques</t>
  </si>
  <si>
    <t>Invocatormentas Galadhrim</t>
  </si>
  <si>
    <t>Capitán Galadhrim</t>
  </si>
  <si>
    <t>Guerrero Galadhrim</t>
  </si>
  <si>
    <t>Caballero Galadhrim</t>
  </si>
  <si>
    <t>Centinela Elfo de los Bosques</t>
  </si>
  <si>
    <t>Guardia de la Corte Galadhrim</t>
  </si>
  <si>
    <t>Los Pueblos Libres: El Pueblo de Durin</t>
  </si>
  <si>
    <t>Arco enano</t>
  </si>
  <si>
    <t>Arco enano largo</t>
  </si>
  <si>
    <t>Arma a dos manos</t>
  </si>
  <si>
    <t>Hachas arrojadizas</t>
  </si>
  <si>
    <t>Guardia del hogar</t>
  </si>
  <si>
    <t>Veteranos de las Colinas de Hierro</t>
  </si>
  <si>
    <t>Cuerno de Guerra</t>
  </si>
  <si>
    <t>Hacha de Durin</t>
  </si>
  <si>
    <t>Capitán de Ingenieros enanos</t>
  </si>
  <si>
    <t>Munición incendiaria</t>
  </si>
  <si>
    <t>Miembro adicional</t>
  </si>
  <si>
    <t>Durin, Rey de Khazad-dûm</t>
  </si>
  <si>
    <t>Mardin</t>
  </si>
  <si>
    <t>Balin, hijo de Fundin</t>
  </si>
  <si>
    <t>Dáin Pie de Hierro, Rey de Erebor</t>
  </si>
  <si>
    <t>Gimli, hijo de Glóin</t>
  </si>
  <si>
    <t>Flói Manopiedra</t>
  </si>
  <si>
    <t>Múrin y Drár</t>
  </si>
  <si>
    <t>Capitán Enano</t>
  </si>
  <si>
    <t>Rey Enano</t>
  </si>
  <si>
    <t>Portador del Escudo</t>
  </si>
  <si>
    <t>Campeón del Rey</t>
  </si>
  <si>
    <t>Guerrero Enano</t>
  </si>
  <si>
    <t>Montaraz Enano</t>
  </si>
  <si>
    <t>Guardián de Hierrro</t>
  </si>
  <si>
    <t>Equipo de Guardia de Cámara</t>
  </si>
  <si>
    <t>Guardián de Khazâd</t>
  </si>
  <si>
    <t>Balista Enana</t>
  </si>
  <si>
    <t>Los Pueblos Libres: La Comarca</t>
  </si>
  <si>
    <t>Cazadores Tuk</t>
  </si>
  <si>
    <t>Guerreros Brandigamos</t>
  </si>
  <si>
    <t>Frodo Nueve Dedos</t>
  </si>
  <si>
    <t>Samsagaz el Valiente</t>
  </si>
  <si>
    <t>Peregrin, Capitán de la Comarca</t>
  </si>
  <si>
    <t>Meriadoc, Capitán de la Comarca</t>
  </si>
  <si>
    <t>Paladin Tuk</t>
  </si>
  <si>
    <t>Lobelia Sacovilla Bolsón</t>
  </si>
  <si>
    <t>Fredeger Bolger</t>
  </si>
  <si>
    <t>Maggot el Granjero</t>
  </si>
  <si>
    <t>Milicia Hobbit</t>
  </si>
  <si>
    <t>Arqueros Hobbits</t>
  </si>
  <si>
    <t>Oficiales</t>
  </si>
  <si>
    <t>Los Pueblos Libres: La Comunidad del Anillo</t>
  </si>
  <si>
    <t>Carro de Gandalf</t>
  </si>
  <si>
    <t>Sombragris</t>
  </si>
  <si>
    <t>Andúril, Llama del Oeste</t>
  </si>
  <si>
    <t>Cota de mithril</t>
  </si>
  <si>
    <t>Dardo</t>
  </si>
  <si>
    <t xml:space="preserve">Armadura </t>
  </si>
  <si>
    <t>Gandalf el Gris</t>
  </si>
  <si>
    <t>Gandalf el Blanco</t>
  </si>
  <si>
    <t>Aragorn/Trancos</t>
  </si>
  <si>
    <t>Boromir de Gondor</t>
  </si>
  <si>
    <t>Frodo</t>
  </si>
  <si>
    <t>Gimli hijo de Glóin</t>
  </si>
  <si>
    <t>Samsagaz Gamyi</t>
  </si>
  <si>
    <t>Meriadoc Brandigamo</t>
  </si>
  <si>
    <t>Peregrin Tuk</t>
  </si>
  <si>
    <t>Bill el Poni</t>
  </si>
  <si>
    <t>Sméagol</t>
  </si>
  <si>
    <t>Los Pueblos Libres: Los Caminantes Infatigables</t>
  </si>
  <si>
    <t>El Anillo</t>
  </si>
  <si>
    <t>Tom Bombadil</t>
  </si>
  <si>
    <t>Baya de Oro</t>
  </si>
  <si>
    <t>Bárbol</t>
  </si>
  <si>
    <t>Gwaihir</t>
  </si>
  <si>
    <t>Ghân-buri-Ghân</t>
  </si>
  <si>
    <t>Bilbo Bolsón</t>
  </si>
  <si>
    <t>Bandrobas Tuk, "Toro Bramador"</t>
  </si>
  <si>
    <t>Gran Águila</t>
  </si>
  <si>
    <t>Ent</t>
  </si>
  <si>
    <t>Guerrero Wose</t>
  </si>
  <si>
    <t>Los Pueblos Libres: El Concilio Blanco</t>
  </si>
  <si>
    <t>Saruman el Blanco</t>
  </si>
  <si>
    <t>Galadriel, Protectora de Lothlórien</t>
  </si>
  <si>
    <t>Radagast el Pardo</t>
  </si>
  <si>
    <t>Glorfindel</t>
  </si>
  <si>
    <t>Thranduil</t>
  </si>
  <si>
    <t>Arwen</t>
  </si>
  <si>
    <t>Mordor</t>
  </si>
  <si>
    <t>Arco orco</t>
  </si>
  <si>
    <t>Venablos</t>
  </si>
  <si>
    <t>Orcos de Dol Guldur</t>
  </si>
  <si>
    <t>Capitanes Orcos de Dol Guldur</t>
  </si>
  <si>
    <t>Chamanes Orcos de Dol Guldur</t>
  </si>
  <si>
    <t>Tambor de guerra</t>
  </si>
  <si>
    <t>Huargo</t>
  </si>
  <si>
    <t>Bestia alada</t>
  </si>
  <si>
    <t>Bestia alada con armadura</t>
  </si>
  <si>
    <t>Bestia alada cornuda</t>
  </si>
  <si>
    <t>Corona de Morgul</t>
  </si>
  <si>
    <t>Puñal de Morgul</t>
  </si>
  <si>
    <t>Mayal</t>
  </si>
  <si>
    <t>+ Poder</t>
  </si>
  <si>
    <t>+ Voluntad</t>
  </si>
  <si>
    <t>+ Destino</t>
  </si>
  <si>
    <t xml:space="preserve">Aliento de fuego </t>
  </si>
  <si>
    <t>Volar</t>
  </si>
  <si>
    <t>Pellejo duro</t>
  </si>
  <si>
    <t>Lengua draconiana</t>
  </si>
  <si>
    <t>El Anillo Único</t>
  </si>
  <si>
    <t>Troll</t>
  </si>
  <si>
    <t>Capitán de Ingenieros Orco</t>
  </si>
  <si>
    <t>Cabezas cortadas</t>
  </si>
  <si>
    <t>Númenóreano negro</t>
  </si>
  <si>
    <t>Sauron, el Señor Oscuro</t>
  </si>
  <si>
    <t>La Boca de Sauron</t>
  </si>
  <si>
    <t>El Rey Brujo de Angmar</t>
  </si>
  <si>
    <t>Nazgûl</t>
  </si>
  <si>
    <t>Gollum</t>
  </si>
  <si>
    <t>El Traidor</t>
  </si>
  <si>
    <t>El Mariscal Negro</t>
  </si>
  <si>
    <t>El Señor de la Carroña</t>
  </si>
  <si>
    <t>Khamûl el Oriental</t>
  </si>
  <si>
    <t>El Caballero de Umbar</t>
  </si>
  <si>
    <t>El Señor de las Sombras</t>
  </si>
  <si>
    <t>El Corrupto</t>
  </si>
  <si>
    <t>El Imperecedero</t>
  </si>
  <si>
    <t>Gothmog, Lugarteniente de Morgul</t>
  </si>
  <si>
    <t>Ella-Laraña</t>
  </si>
  <si>
    <t>Shagrat, Líder Guerrero de Cirith Ungol</t>
  </si>
  <si>
    <t>Shagrat, Capitán de Cirith Ungol</t>
  </si>
  <si>
    <t>Grishnákh, Capitán Orco</t>
  </si>
  <si>
    <t>Gorbag, Capitán Orco</t>
  </si>
  <si>
    <t>Capitán Orco</t>
  </si>
  <si>
    <t>Kardûsh el Incendiario</t>
  </si>
  <si>
    <t>Chamán Orco de Mordor</t>
  </si>
  <si>
    <t>Capitán Orco de Morannon</t>
  </si>
  <si>
    <t>Capitán de la Guardia Negra</t>
  </si>
  <si>
    <t>Tambor de la Guardia Negra</t>
  </si>
  <si>
    <t>Tambor Orco</t>
  </si>
  <si>
    <t>Castellano de Dol Guldur</t>
  </si>
  <si>
    <t>Mariscal Númenóreano Negro</t>
  </si>
  <si>
    <t>Capitan Uruk-hai de Mordor</t>
  </si>
  <si>
    <t>Capataz Orco de Mordor</t>
  </si>
  <si>
    <t>Reina de las Arañas</t>
  </si>
  <si>
    <t>Dragón</t>
  </si>
  <si>
    <t>Draco de las cavernas</t>
  </si>
  <si>
    <t>El Nigromante</t>
  </si>
  <si>
    <t>Jefe Troll de Mordor</t>
  </si>
  <si>
    <t>Guerrero Orco</t>
  </si>
  <si>
    <t>Rastreador Orco</t>
  </si>
  <si>
    <t>Jinete Huargo</t>
  </si>
  <si>
    <t>Uruk-hai de Mordor</t>
  </si>
  <si>
    <t>Orco de Morannon</t>
  </si>
  <si>
    <t>Sombra de Morgul</t>
  </si>
  <si>
    <t>Caballero de Morgul</t>
  </si>
  <si>
    <t>Guerrero Númenóreano Negro</t>
  </si>
  <si>
    <t>Araña Gigante</t>
  </si>
  <si>
    <t>Guardia Negra de Barad-dûr</t>
  </si>
  <si>
    <t>Espíritu de los Muertos</t>
  </si>
  <si>
    <t>Gran Bestia de Gorgoroth</t>
  </si>
  <si>
    <t>Troll de Mordor</t>
  </si>
  <si>
    <t>Ballesta de Asedio de Mordor</t>
  </si>
  <si>
    <t>Catapulta de Mordor</t>
  </si>
  <si>
    <t>Los Reinos Caídos: Isengard</t>
  </si>
  <si>
    <t>Arco/Arco orco</t>
  </si>
  <si>
    <t>Ballesta</t>
  </si>
  <si>
    <t>Látigo</t>
  </si>
  <si>
    <t>Caballo/Huargo</t>
  </si>
  <si>
    <t>Capitán de Ingenieros Uruk-hai</t>
  </si>
  <si>
    <t>Antorcha</t>
  </si>
  <si>
    <t>Saruman</t>
  </si>
  <si>
    <t>Lurtz</t>
  </si>
  <si>
    <t>Uglúk</t>
  </si>
  <si>
    <t>Grima Lengua de Serpiente</t>
  </si>
  <si>
    <t>Thrydan Matalobos</t>
  </si>
  <si>
    <t>Sharku</t>
  </si>
  <si>
    <t>Vraskû</t>
  </si>
  <si>
    <t>Mauhúr</t>
  </si>
  <si>
    <t>Capitán Uruk-hai</t>
  </si>
  <si>
    <t>Chamán Uruk-hai</t>
  </si>
  <si>
    <t>Tambor de Guerra Uruk-hai</t>
  </si>
  <si>
    <t>Caudillo Dunlendino</t>
  </si>
  <si>
    <t>Zarquino y Serpiente</t>
  </si>
  <si>
    <t>Explorador Uruk-hai</t>
  </si>
  <si>
    <t>Guerrero Uruk-hai</t>
  </si>
  <si>
    <t>Fanático Uruk-hai</t>
  </si>
  <si>
    <t>Uruk-hai Salvaje</t>
  </si>
  <si>
    <t>Troll de Isengard</t>
  </si>
  <si>
    <t>Guerrero Dunlendino</t>
  </si>
  <si>
    <t>Hombre Salvaje de Dunland</t>
  </si>
  <si>
    <t>Jinete de Huargo</t>
  </si>
  <si>
    <t>Rufián</t>
  </si>
  <si>
    <t>Balista de Asedio de Isengard</t>
  </si>
  <si>
    <t>Equipo de Demolición Uruk-hai</t>
  </si>
  <si>
    <t>Los Reinos Caídos: Harad y Umbar</t>
  </si>
  <si>
    <t>Lanza/Pica de abordaje</t>
  </si>
  <si>
    <t>Cerbatana</t>
  </si>
  <si>
    <t>Lanza larga</t>
  </si>
  <si>
    <t>Guerrero/Incursor de Abrakhân</t>
  </si>
  <si>
    <t>Guerrero de Kârna</t>
  </si>
  <si>
    <t>Castellano de Umbar</t>
  </si>
  <si>
    <t>Caballero venenoso</t>
  </si>
  <si>
    <t>Camello de guerra</t>
  </si>
  <si>
    <t>Besetia alada con armadura</t>
  </si>
  <si>
    <t>Comandante Mahûd</t>
  </si>
  <si>
    <t>Cuerdas para descender</t>
  </si>
  <si>
    <t>Temperamento salvaje</t>
  </si>
  <si>
    <t>Rocas</t>
  </si>
  <si>
    <t>Pinturas de guerra</t>
  </si>
  <si>
    <t>Armas de colmillo de Mûmak</t>
  </si>
  <si>
    <t>Sûladan, el Rey Serpiente</t>
  </si>
  <si>
    <t>Hâsharin</t>
  </si>
  <si>
    <t>Dalamyr, Almirante de Umbar</t>
  </si>
  <si>
    <t>El Rey Dorado de Abrakhân</t>
  </si>
  <si>
    <t>Rey Haradrim</t>
  </si>
  <si>
    <t>Caudillo Haradrim</t>
  </si>
  <si>
    <t>Capataz Haradrim</t>
  </si>
  <si>
    <t>Capitán Corsario</t>
  </si>
  <si>
    <t>Contramaestre Corsario</t>
  </si>
  <si>
    <t>Mûmak</t>
  </si>
  <si>
    <t>Rey Mahûd</t>
  </si>
  <si>
    <t>Jefe de tribu Mahûd</t>
  </si>
  <si>
    <t>Guerrero Haradrim</t>
  </si>
  <si>
    <t>Incursor Haradrim</t>
  </si>
  <si>
    <t>Guardia de la Serpiente</t>
  </si>
  <si>
    <t>Jinete Serpiente</t>
  </si>
  <si>
    <t>Corsario de Umbar</t>
  </si>
  <si>
    <t>Incursor de Umbar</t>
  </si>
  <si>
    <t>Corsario Arbalestero</t>
  </si>
  <si>
    <t>Vigilante de Kârna</t>
  </si>
  <si>
    <t>Guardia Mercante de Abrakhân</t>
  </si>
  <si>
    <t>Númenóreano Negro</t>
  </si>
  <si>
    <t>Guerrero Mahûd</t>
  </si>
  <si>
    <t>Incursor Mahûd</t>
  </si>
  <si>
    <t>Medio-troll del Lejano Harad</t>
  </si>
  <si>
    <t>Los Reinos Caídos: Los Reinos del Este</t>
  </si>
  <si>
    <t>Dragón Negro</t>
  </si>
  <si>
    <t>Alabarda oriental</t>
  </si>
  <si>
    <t>Carro Khandiano</t>
  </si>
  <si>
    <t xml:space="preserve">Bestia alada con armadura </t>
  </si>
  <si>
    <t>Amdûr, Señor de las Espadas</t>
  </si>
  <si>
    <t>Capitán del Este</t>
  </si>
  <si>
    <t>Caballero del Dragón</t>
  </si>
  <si>
    <t>Sacerdote Militante</t>
  </si>
  <si>
    <t>Rey de Khand</t>
  </si>
  <si>
    <t>Caudillo de Khand</t>
  </si>
  <si>
    <t>Hombre del Este</t>
  </si>
  <si>
    <t>Catafracto del Este</t>
  </si>
  <si>
    <t>Guerrero de Khand</t>
  </si>
  <si>
    <t>Auriga de Khand</t>
  </si>
  <si>
    <t>Jinete de Khand</t>
  </si>
  <si>
    <t>Moria y Angmar: Moria</t>
  </si>
  <si>
    <t>Cadena de Troll</t>
  </si>
  <si>
    <t>Arañas venenosas</t>
  </si>
  <si>
    <t>Aliento de fuego</t>
  </si>
  <si>
    <t>Durbûrz, Rey Orco de Moria</t>
  </si>
  <si>
    <t>Drûzhag El que llama a las bestias</t>
  </si>
  <si>
    <t>Grôblog</t>
  </si>
  <si>
    <t>Huargo salvaje jefe</t>
  </si>
  <si>
    <t>Capitán Orco de Moria</t>
  </si>
  <si>
    <t>Chamán Orco de Moria</t>
  </si>
  <si>
    <t>Capitán de los Escudos negros de Gundabad</t>
  </si>
  <si>
    <t>Chamán de los Escudos negros de Gundabad</t>
  </si>
  <si>
    <t>Ashrâk</t>
  </si>
  <si>
    <t>El Balrog</t>
  </si>
  <si>
    <t>El Guardián del Agua</t>
  </si>
  <si>
    <t>Guerrero Orco de Moria</t>
  </si>
  <si>
    <t>Tambor Orco de Moria</t>
  </si>
  <si>
    <t>Tambores de los Escudos Negros de Gundabad</t>
  </si>
  <si>
    <t>Bandada de muriélagos</t>
  </si>
  <si>
    <t>Incursor Huargo</t>
  </si>
  <si>
    <t>Merodeador Orco de Moria</t>
  </si>
  <si>
    <t>Escudo Negro de Gundabad</t>
  </si>
  <si>
    <t>Morador de la oscuridad</t>
  </si>
  <si>
    <t>Huargo salvaje</t>
  </si>
  <si>
    <t>Troll de las Cavernas</t>
  </si>
  <si>
    <t>Moria y Angmar: Angmar</t>
  </si>
  <si>
    <t>Señor de la Carroña</t>
  </si>
  <si>
    <t>Gûlavhar, el Terror de Arnor</t>
  </si>
  <si>
    <t>Buhrdûr, Jefe Troll</t>
  </si>
  <si>
    <t>Tumulario</t>
  </si>
  <si>
    <t>Sombra</t>
  </si>
  <si>
    <t>Chamán Orco de Angmar</t>
  </si>
  <si>
    <t>Fuerzas de la Luz</t>
  </si>
  <si>
    <t>Huestes de la Oscuridad</t>
  </si>
  <si>
    <t>VOLVER AL ÍNDICE</t>
  </si>
  <si>
    <t>MINAS TIRITH</t>
  </si>
  <si>
    <t>LOS FEUDOS</t>
  </si>
  <si>
    <t>ROHAN</t>
  </si>
  <si>
    <t>ARNOR</t>
  </si>
  <si>
    <t>NÚMENOR</t>
  </si>
  <si>
    <t>EREGION Y RIVENDELL</t>
  </si>
  <si>
    <t>LOTHLÓRIEN Y EL BOSQUE NEGRO</t>
  </si>
  <si>
    <t>EL PUEBLO DE DURIN</t>
  </si>
  <si>
    <t>LA COMARCA</t>
  </si>
  <si>
    <t>LA COMUNIDAD DEL ANILLO</t>
  </si>
  <si>
    <t>LOS CAMINANTES INFATIGABLES</t>
  </si>
  <si>
    <t>EL CONCILIO BLANCO</t>
  </si>
  <si>
    <t>TOTAL</t>
  </si>
  <si>
    <t>MORDOR</t>
  </si>
  <si>
    <t>ISENGARD</t>
  </si>
  <si>
    <t>HARAD Y UMBAR</t>
  </si>
  <si>
    <t>LOS REINOS DEL ESTE</t>
  </si>
  <si>
    <t>MORIA</t>
  </si>
  <si>
    <t>ANGMAR</t>
  </si>
  <si>
    <t>FUERZAS DE LA LUZ</t>
  </si>
  <si>
    <t>Número</t>
  </si>
  <si>
    <t>de</t>
  </si>
  <si>
    <t>Mniaturas</t>
  </si>
  <si>
    <t>Máximo</t>
  </si>
  <si>
    <t>Poder</t>
  </si>
  <si>
    <t>PUNTOS</t>
  </si>
  <si>
    <t>HUESTES DE LA OSCURIDAD</t>
  </si>
  <si>
    <t>Merodeador</t>
  </si>
  <si>
    <t>El Hobbit: Fuerzas de la Luz</t>
  </si>
  <si>
    <t>El Hobbit: Fuerzas de la Oscuridad</t>
  </si>
  <si>
    <t>Thorin Escudo de Roble</t>
  </si>
  <si>
    <t>Fili, el Enano</t>
  </si>
  <si>
    <t>Kili, el Enano</t>
  </si>
  <si>
    <t>Bifur, el Enano</t>
  </si>
  <si>
    <t>Bofur, el Enano</t>
  </si>
  <si>
    <t>Bombur, el Enano</t>
  </si>
  <si>
    <t>Dwalin, el Enano</t>
  </si>
  <si>
    <t>Oin, el Enano</t>
  </si>
  <si>
    <t>Gloin, el Enano</t>
  </si>
  <si>
    <t>Ori, el Enano</t>
  </si>
  <si>
    <t>Dori, el Enano</t>
  </si>
  <si>
    <t>Nori, el Enano</t>
  </si>
  <si>
    <t>Lindir</t>
  </si>
  <si>
    <t>Capitán de los caballeros de Rivendel</t>
  </si>
  <si>
    <t>Thror</t>
  </si>
  <si>
    <t>Thrain</t>
  </si>
  <si>
    <t>Capitán martillos siniestros</t>
  </si>
  <si>
    <t>Caballero de Rivendel</t>
  </si>
  <si>
    <t>Guerrero de Erebor</t>
  </si>
  <si>
    <t>Martillo Siniestro</t>
  </si>
  <si>
    <t>Gran águila</t>
  </si>
  <si>
    <t>Trineo</t>
  </si>
  <si>
    <t>Sebastián</t>
  </si>
  <si>
    <t>El Escudo de Roble</t>
  </si>
  <si>
    <t>Orcrist</t>
  </si>
  <si>
    <t>Capitán de Erebor</t>
  </si>
  <si>
    <t>Balin, el Enano</t>
  </si>
  <si>
    <t>EL HOBBIT: FUERZAS DE LA LUZ</t>
  </si>
  <si>
    <t>EL HOBBIT: FUERZAS DE LA OSCURIDAD</t>
  </si>
  <si>
    <t>EL HOBBIT: HUESTES DE LA OSCURIDAD</t>
  </si>
  <si>
    <t>Azog</t>
  </si>
  <si>
    <t>Fimbul</t>
  </si>
  <si>
    <t>Narzug</t>
  </si>
  <si>
    <t>Bolg</t>
  </si>
  <si>
    <t>Capitán Cazador Orco</t>
  </si>
  <si>
    <t>William</t>
  </si>
  <si>
    <t>Bert</t>
  </si>
  <si>
    <t>Tom</t>
  </si>
  <si>
    <t>El Rey Trasgo</t>
  </si>
  <si>
    <t>Grinnah</t>
  </si>
  <si>
    <t>El Escriba Trasgo</t>
  </si>
  <si>
    <t>Capitán Trasgo</t>
  </si>
  <si>
    <t>Guerrero Trasgo</t>
  </si>
  <si>
    <t>Huargo Feroz</t>
  </si>
  <si>
    <t>Cazador Orco</t>
  </si>
  <si>
    <t>Arma/Hacha a dos manos</t>
  </si>
  <si>
    <t>Huargo feroz</t>
  </si>
  <si>
    <t>El Huargo Blanco</t>
  </si>
  <si>
    <t>Fogata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</si>
</sst>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22"/>
      <color theme="3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u/>
      <sz val="11"/>
      <color rgb="FF83AEE1"/>
      <name val="Calibri"/>
      <family val="2"/>
      <scheme val="minor"/>
    </font>
    <font>
      <sz val="11"/>
      <color rgb="FF83AEE1"/>
      <name val="Calibri"/>
      <family val="2"/>
      <scheme val="minor"/>
    </font>
    <font>
      <u/>
      <sz val="22"/>
      <color theme="5" tint="-0.499984740745262"/>
      <name val="Calibri"/>
      <family val="2"/>
      <scheme val="minor"/>
    </font>
    <font>
      <u/>
      <sz val="11"/>
      <color theme="9" tint="-0.499984740745262"/>
      <name val="Calibri"/>
      <family val="2"/>
      <scheme val="minor"/>
    </font>
    <font>
      <u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u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sz val="16"/>
      <color theme="3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6"/>
      <color rgb="FFC0000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theme="9" tint="-0.249977111117893"/>
      <name val="Arial"/>
      <family val="2"/>
    </font>
    <font>
      <u/>
      <sz val="10"/>
      <name val="Arial"/>
      <family val="2"/>
    </font>
    <font>
      <sz val="10"/>
      <color theme="3" tint="0.39997558519241921"/>
      <name val="Arial"/>
      <family val="2"/>
    </font>
    <font>
      <sz val="10"/>
      <color rgb="FF83AEE1"/>
      <name val="Arial"/>
      <family val="2"/>
    </font>
    <font>
      <sz val="10"/>
      <color theme="9" tint="-0.249977111117893"/>
      <name val="Arial"/>
      <family val="2"/>
    </font>
    <font>
      <sz val="10"/>
      <color theme="9"/>
      <name val="Arial"/>
      <family val="2"/>
    </font>
    <font>
      <u/>
      <sz val="11"/>
      <color rgb="FF3366FF"/>
      <name val="Calibri"/>
      <family val="2"/>
      <scheme val="minor"/>
    </font>
    <font>
      <u/>
      <sz val="11"/>
      <color rgb="FFFF99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8F5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0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D8929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33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5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Border="1"/>
    <xf numFmtId="0" fontId="3" fillId="0" borderId="0" xfId="0" applyFont="1" applyAlignment="1">
      <alignment horizontal="center" textRotation="90" wrapText="1"/>
    </xf>
    <xf numFmtId="0" fontId="1" fillId="0" borderId="0" xfId="0" applyFont="1" applyAlignment="1">
      <alignment horizontal="center" textRotation="90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3" borderId="0" xfId="0" applyFont="1" applyFill="1" applyBorder="1"/>
    <xf numFmtId="0" fontId="5" fillId="3" borderId="0" xfId="0" applyFont="1" applyFill="1" applyBorder="1"/>
    <xf numFmtId="0" fontId="4" fillId="3" borderId="0" xfId="0" applyFont="1" applyFill="1" applyBorder="1" applyAlignment="1"/>
    <xf numFmtId="0" fontId="5" fillId="2" borderId="2" xfId="0" applyFont="1" applyFill="1" applyBorder="1"/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2" borderId="3" xfId="0" applyFont="1" applyFill="1" applyBorder="1"/>
    <xf numFmtId="0" fontId="5" fillId="4" borderId="0" xfId="0" applyFont="1" applyFill="1" applyBorder="1"/>
    <xf numFmtId="0" fontId="4" fillId="4" borderId="0" xfId="0" applyFont="1" applyFill="1" applyBorder="1"/>
    <xf numFmtId="0" fontId="5" fillId="2" borderId="3" xfId="0" applyFont="1" applyFill="1" applyBorder="1"/>
    <xf numFmtId="0" fontId="5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 applyAlignment="1"/>
    <xf numFmtId="0" fontId="0" fillId="2" borderId="0" xfId="0" applyFill="1" applyAlignment="1">
      <alignment horizontal="center"/>
    </xf>
    <xf numFmtId="0" fontId="1" fillId="0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1" fillId="2" borderId="0" xfId="0" applyFont="1" applyFill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shrinkToFit="1"/>
    </xf>
    <xf numFmtId="0" fontId="1" fillId="2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/>
    <xf numFmtId="0" fontId="1" fillId="2" borderId="0" xfId="0" applyFont="1" applyFill="1" applyBorder="1" applyAlignment="1">
      <alignment horizontal="center"/>
    </xf>
    <xf numFmtId="0" fontId="5" fillId="2" borderId="0" xfId="0" applyFont="1" applyFill="1"/>
    <xf numFmtId="0" fontId="5" fillId="2" borderId="3" xfId="0" applyFont="1" applyFill="1" applyBorder="1" applyAlignment="1">
      <alignment horizontal="center"/>
    </xf>
    <xf numFmtId="0" fontId="4" fillId="5" borderId="0" xfId="0" applyFont="1" applyFill="1" applyBorder="1"/>
    <xf numFmtId="0" fontId="5" fillId="5" borderId="0" xfId="0" applyFont="1" applyFill="1" applyBorder="1"/>
    <xf numFmtId="0" fontId="4" fillId="5" borderId="0" xfId="0" applyFont="1" applyFill="1" applyBorder="1" applyAlignment="1"/>
    <xf numFmtId="0" fontId="4" fillId="6" borderId="0" xfId="0" applyFont="1" applyFill="1" applyBorder="1"/>
    <xf numFmtId="0" fontId="5" fillId="6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textRotation="90" wrapText="1"/>
    </xf>
    <xf numFmtId="0" fontId="4" fillId="9" borderId="0" xfId="0" applyFont="1" applyFill="1" applyBorder="1"/>
    <xf numFmtId="0" fontId="5" fillId="9" borderId="0" xfId="0" applyFont="1" applyFill="1" applyBorder="1"/>
    <xf numFmtId="0" fontId="4" fillId="9" borderId="0" xfId="0" applyFont="1" applyFill="1" applyBorder="1" applyAlignment="1"/>
    <xf numFmtId="0" fontId="4" fillId="10" borderId="0" xfId="0" applyFont="1" applyFill="1" applyBorder="1"/>
    <xf numFmtId="0" fontId="5" fillId="10" borderId="0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11" borderId="0" xfId="0" applyFont="1" applyFill="1" applyBorder="1"/>
    <xf numFmtId="0" fontId="5" fillId="11" borderId="0" xfId="0" applyFont="1" applyFill="1" applyBorder="1"/>
    <xf numFmtId="0" fontId="4" fillId="11" borderId="0" xfId="0" applyFont="1" applyFill="1" applyBorder="1" applyAlignment="1"/>
    <xf numFmtId="0" fontId="4" fillId="12" borderId="0" xfId="0" applyFont="1" applyFill="1" applyBorder="1" applyAlignment="1">
      <alignment horizontal="center"/>
    </xf>
    <xf numFmtId="0" fontId="5" fillId="12" borderId="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1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14" borderId="0" xfId="0" applyFont="1" applyFill="1" applyBorder="1"/>
    <xf numFmtId="0" fontId="5" fillId="14" borderId="0" xfId="0" applyFont="1" applyFill="1" applyBorder="1"/>
    <xf numFmtId="0" fontId="4" fillId="14" borderId="0" xfId="0" applyFont="1" applyFill="1" applyBorder="1" applyAlignment="1"/>
    <xf numFmtId="0" fontId="4" fillId="15" borderId="0" xfId="0" applyFont="1" applyFill="1" applyBorder="1"/>
    <xf numFmtId="0" fontId="5" fillId="15" borderId="0" xfId="0" applyFont="1" applyFill="1" applyBorder="1"/>
    <xf numFmtId="0" fontId="4" fillId="15" borderId="0" xfId="0" applyFont="1" applyFill="1" applyBorder="1" applyAlignment="1">
      <alignment horizontal="center"/>
    </xf>
    <xf numFmtId="0" fontId="5" fillId="15" borderId="0" xfId="0" applyFont="1" applyFill="1" applyBorder="1" applyAlignment="1">
      <alignment horizontal="center"/>
    </xf>
    <xf numFmtId="0" fontId="4" fillId="14" borderId="0" xfId="0" applyFont="1" applyFill="1" applyBorder="1" applyAlignment="1">
      <alignment horizontal="center"/>
    </xf>
    <xf numFmtId="0" fontId="5" fillId="14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 textRotation="90" wrapText="1"/>
    </xf>
    <xf numFmtId="0" fontId="1" fillId="0" borderId="0" xfId="0" applyFont="1" applyFill="1" applyAlignment="1">
      <alignment horizontal="center" textRotation="90" wrapText="1"/>
    </xf>
    <xf numFmtId="0" fontId="4" fillId="16" borderId="0" xfId="0" applyFont="1" applyFill="1" applyBorder="1"/>
    <xf numFmtId="0" fontId="5" fillId="16" borderId="0" xfId="0" applyFont="1" applyFill="1" applyBorder="1"/>
    <xf numFmtId="0" fontId="4" fillId="16" borderId="0" xfId="0" applyFont="1" applyFill="1" applyBorder="1" applyAlignment="1"/>
    <xf numFmtId="0" fontId="4" fillId="16" borderId="0" xfId="0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4" fillId="17" borderId="0" xfId="0" applyFont="1" applyFill="1" applyBorder="1"/>
    <xf numFmtId="0" fontId="5" fillId="17" borderId="0" xfId="0" applyFont="1" applyFill="1" applyBorder="1"/>
    <xf numFmtId="0" fontId="4" fillId="17" borderId="0" xfId="0" applyFont="1" applyFill="1" applyBorder="1" applyAlignment="1">
      <alignment horizontal="center"/>
    </xf>
    <xf numFmtId="0" fontId="5" fillId="17" borderId="0" xfId="0" applyFont="1" applyFill="1" applyBorder="1" applyAlignment="1">
      <alignment horizontal="center"/>
    </xf>
    <xf numFmtId="0" fontId="4" fillId="18" borderId="0" xfId="0" applyFont="1" applyFill="1" applyBorder="1"/>
    <xf numFmtId="0" fontId="5" fillId="18" borderId="0" xfId="0" applyFont="1" applyFill="1" applyBorder="1"/>
    <xf numFmtId="0" fontId="4" fillId="19" borderId="0" xfId="0" applyFont="1" applyFill="1" applyBorder="1"/>
    <xf numFmtId="0" fontId="5" fillId="19" borderId="0" xfId="0" applyFont="1" applyFill="1" applyBorder="1"/>
    <xf numFmtId="0" fontId="4" fillId="19" borderId="0" xfId="0" applyFont="1" applyFill="1" applyBorder="1" applyAlignment="1">
      <alignment horizontal="center"/>
    </xf>
    <xf numFmtId="0" fontId="5" fillId="19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18" borderId="0" xfId="0" applyFont="1" applyFill="1" applyBorder="1" applyAlignment="1"/>
    <xf numFmtId="0" fontId="0" fillId="2" borderId="0" xfId="0" applyFill="1" applyBorder="1"/>
    <xf numFmtId="0" fontId="4" fillId="20" borderId="0" xfId="0" applyFont="1" applyFill="1" applyBorder="1"/>
    <xf numFmtId="0" fontId="6" fillId="2" borderId="4" xfId="0" applyFont="1" applyFill="1" applyBorder="1"/>
    <xf numFmtId="0" fontId="6" fillId="2" borderId="3" xfId="0" applyFont="1" applyFill="1" applyBorder="1"/>
    <xf numFmtId="0" fontId="6" fillId="20" borderId="0" xfId="0" applyFont="1" applyFill="1" applyBorder="1"/>
    <xf numFmtId="0" fontId="4" fillId="20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4" fillId="8" borderId="0" xfId="0" applyFont="1" applyFill="1" applyBorder="1"/>
    <xf numFmtId="0" fontId="5" fillId="8" borderId="0" xfId="0" applyFont="1" applyFill="1" applyBorder="1"/>
    <xf numFmtId="0" fontId="4" fillId="2" borderId="6" xfId="0" applyFont="1" applyFill="1" applyBorder="1" applyAlignment="1">
      <alignment horizontal="center"/>
    </xf>
    <xf numFmtId="0" fontId="4" fillId="20" borderId="0" xfId="0" applyFont="1" applyFill="1" applyBorder="1" applyAlignment="1">
      <alignment horizontal="center"/>
    </xf>
    <xf numFmtId="0" fontId="4" fillId="21" borderId="0" xfId="0" applyFont="1" applyFill="1" applyBorder="1"/>
    <xf numFmtId="0" fontId="4" fillId="22" borderId="0" xfId="0" applyFont="1" applyFill="1" applyBorder="1"/>
    <xf numFmtId="0" fontId="4" fillId="22" borderId="0" xfId="0" applyFont="1" applyFill="1" applyBorder="1" applyAlignment="1">
      <alignment horizontal="center"/>
    </xf>
    <xf numFmtId="0" fontId="4" fillId="4" borderId="0" xfId="0" applyFont="1" applyFill="1" applyBorder="1" applyAlignment="1"/>
    <xf numFmtId="49" fontId="1" fillId="0" borderId="0" xfId="0" applyNumberFormat="1" applyFont="1" applyAlignment="1">
      <alignment horizontal="center" textRotation="90" wrapText="1"/>
    </xf>
    <xf numFmtId="0" fontId="4" fillId="23" borderId="0" xfId="0" applyFont="1" applyFill="1" applyAlignment="1">
      <alignment horizontal="center"/>
    </xf>
    <xf numFmtId="0" fontId="5" fillId="23" borderId="0" xfId="0" applyFont="1" applyFill="1" applyAlignment="1">
      <alignment horizontal="center"/>
    </xf>
    <xf numFmtId="0" fontId="6" fillId="23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2" borderId="0" xfId="0" applyFont="1" applyFill="1"/>
    <xf numFmtId="0" fontId="1" fillId="2" borderId="3" xfId="0" applyFont="1" applyFill="1" applyBorder="1" applyAlignment="1">
      <alignment horizontal="center"/>
    </xf>
    <xf numFmtId="0" fontId="0" fillId="2" borderId="0" xfId="0" applyFill="1" applyAlignment="1">
      <alignment horizontal="center" textRotation="90"/>
    </xf>
    <xf numFmtId="0" fontId="7" fillId="2" borderId="0" xfId="0" applyFont="1" applyFill="1" applyAlignment="1">
      <alignment textRotation="90" wrapText="1"/>
    </xf>
    <xf numFmtId="0" fontId="4" fillId="25" borderId="0" xfId="0" applyFont="1" applyFill="1" applyBorder="1"/>
    <xf numFmtId="0" fontId="5" fillId="25" borderId="0" xfId="0" applyFont="1" applyFill="1" applyBorder="1"/>
    <xf numFmtId="0" fontId="4" fillId="25" borderId="0" xfId="0" applyFont="1" applyFill="1" applyBorder="1" applyAlignment="1"/>
    <xf numFmtId="0" fontId="8" fillId="2" borderId="0" xfId="0" applyFont="1" applyFill="1"/>
    <xf numFmtId="0" fontId="8" fillId="2" borderId="0" xfId="0" applyFont="1" applyFill="1" applyBorder="1"/>
    <xf numFmtId="0" fontId="0" fillId="2" borderId="3" xfId="0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 textRotation="90"/>
    </xf>
    <xf numFmtId="0" fontId="7" fillId="2" borderId="0" xfId="0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 applyAlignment="1">
      <alignment wrapText="1"/>
    </xf>
    <xf numFmtId="0" fontId="4" fillId="26" borderId="0" xfId="0" applyFont="1" applyFill="1" applyAlignment="1">
      <alignment horizontal="center"/>
    </xf>
    <xf numFmtId="0" fontId="5" fillId="26" borderId="0" xfId="0" applyFont="1" applyFill="1" applyAlignment="1">
      <alignment horizontal="center"/>
    </xf>
    <xf numFmtId="0" fontId="6" fillId="26" borderId="0" xfId="0" applyFont="1" applyFill="1" applyAlignment="1">
      <alignment horizontal="center"/>
    </xf>
    <xf numFmtId="0" fontId="0" fillId="2" borderId="0" xfId="0" applyFill="1" applyAlignment="1"/>
    <xf numFmtId="0" fontId="4" fillId="27" borderId="0" xfId="0" applyFont="1" applyFill="1" applyAlignment="1">
      <alignment horizontal="center"/>
    </xf>
    <xf numFmtId="0" fontId="5" fillId="27" borderId="0" xfId="0" applyFont="1" applyFill="1" applyAlignment="1">
      <alignment horizontal="center"/>
    </xf>
    <xf numFmtId="0" fontId="6" fillId="27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0" xfId="0" applyFill="1" applyAlignment="1"/>
    <xf numFmtId="0" fontId="4" fillId="28" borderId="0" xfId="0" applyFont="1" applyFill="1" applyBorder="1" applyAlignment="1">
      <alignment horizontal="center"/>
    </xf>
    <xf numFmtId="0" fontId="6" fillId="28" borderId="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9" borderId="0" xfId="0" applyFont="1" applyFill="1" applyBorder="1" applyAlignment="1">
      <alignment horizontal="center"/>
    </xf>
    <xf numFmtId="0" fontId="5" fillId="29" borderId="0" xfId="0" applyFont="1" applyFill="1" applyBorder="1" applyAlignment="1">
      <alignment horizontal="center"/>
    </xf>
    <xf numFmtId="0" fontId="5" fillId="28" borderId="0" xfId="0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4" fillId="30" borderId="0" xfId="0" applyFont="1" applyFill="1" applyAlignment="1">
      <alignment horizontal="center"/>
    </xf>
    <xf numFmtId="0" fontId="6" fillId="30" borderId="0" xfId="0" applyFont="1" applyFill="1" applyAlignment="1">
      <alignment horizontal="center"/>
    </xf>
    <xf numFmtId="0" fontId="4" fillId="31" borderId="0" xfId="0" applyFont="1" applyFill="1" applyAlignment="1">
      <alignment horizontal="center"/>
    </xf>
    <xf numFmtId="0" fontId="5" fillId="31" borderId="0" xfId="0" applyFont="1" applyFill="1" applyAlignment="1">
      <alignment horizontal="center"/>
    </xf>
    <xf numFmtId="0" fontId="6" fillId="31" borderId="0" xfId="0" applyFont="1" applyFill="1" applyAlignment="1">
      <alignment horizontal="center"/>
    </xf>
    <xf numFmtId="0" fontId="1" fillId="0" borderId="0" xfId="0" applyFont="1" applyAlignment="1">
      <alignment shrinkToFit="1"/>
    </xf>
    <xf numFmtId="0" fontId="1" fillId="0" borderId="0" xfId="0" applyFont="1" applyFill="1" applyBorder="1" applyAlignment="1">
      <alignment shrinkToFit="1"/>
    </xf>
    <xf numFmtId="0" fontId="4" fillId="32" borderId="0" xfId="0" applyFont="1" applyFill="1" applyAlignment="1">
      <alignment horizontal="center"/>
    </xf>
    <xf numFmtId="0" fontId="5" fillId="3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33" borderId="0" xfId="0" applyFont="1" applyFill="1" applyAlignment="1">
      <alignment horizontal="center"/>
    </xf>
    <xf numFmtId="0" fontId="6" fillId="32" borderId="0" xfId="0" applyFont="1" applyFill="1" applyAlignment="1">
      <alignment horizontal="center"/>
    </xf>
    <xf numFmtId="0" fontId="0" fillId="7" borderId="0" xfId="0" applyFill="1"/>
    <xf numFmtId="0" fontId="0" fillId="34" borderId="0" xfId="0" applyFill="1"/>
    <xf numFmtId="0" fontId="0" fillId="5" borderId="0" xfId="0" applyFill="1"/>
    <xf numFmtId="0" fontId="0" fillId="6" borderId="0" xfId="0" applyFill="1"/>
    <xf numFmtId="0" fontId="0" fillId="35" borderId="0" xfId="0" applyFill="1"/>
    <xf numFmtId="0" fontId="0" fillId="36" borderId="0" xfId="0" applyFill="1"/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12" fillId="2" borderId="0" xfId="0" applyFont="1" applyFill="1"/>
    <xf numFmtId="0" fontId="14" fillId="2" borderId="0" xfId="0" applyFont="1" applyFill="1"/>
    <xf numFmtId="0" fontId="18" fillId="2" borderId="0" xfId="0" applyFont="1" applyFill="1"/>
    <xf numFmtId="0" fontId="20" fillId="2" borderId="0" xfId="0" applyFont="1" applyFill="1"/>
    <xf numFmtId="0" fontId="0" fillId="37" borderId="0" xfId="0" applyFill="1"/>
    <xf numFmtId="0" fontId="5" fillId="37" borderId="0" xfId="0" applyFont="1" applyFill="1"/>
    <xf numFmtId="0" fontId="1" fillId="37" borderId="0" xfId="0" applyFont="1" applyFill="1"/>
    <xf numFmtId="0" fontId="23" fillId="2" borderId="0" xfId="0" applyFont="1" applyFill="1" applyAlignment="1">
      <alignment horizontal="center" vertical="center"/>
    </xf>
    <xf numFmtId="0" fontId="23" fillId="2" borderId="0" xfId="0" applyFont="1" applyFill="1"/>
    <xf numFmtId="0" fontId="22" fillId="2" borderId="0" xfId="1" applyFont="1" applyFill="1" applyBorder="1"/>
    <xf numFmtId="0" fontId="24" fillId="2" borderId="0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7" borderId="0" xfId="0" applyFont="1" applyFill="1"/>
    <xf numFmtId="0" fontId="1" fillId="7" borderId="0" xfId="0" applyFont="1" applyFill="1"/>
    <xf numFmtId="0" fontId="4" fillId="2" borderId="0" xfId="0" applyFont="1" applyFill="1"/>
    <xf numFmtId="0" fontId="2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11" fillId="2" borderId="0" xfId="1" applyFont="1" applyFill="1"/>
    <xf numFmtId="0" fontId="30" fillId="2" borderId="0" xfId="0" applyFont="1" applyFill="1"/>
    <xf numFmtId="0" fontId="13" fillId="2" borderId="0" xfId="1" applyFont="1" applyFill="1"/>
    <xf numFmtId="0" fontId="31" fillId="2" borderId="0" xfId="0" applyFont="1" applyFill="1"/>
    <xf numFmtId="0" fontId="16" fillId="2" borderId="0" xfId="1" applyFont="1" applyFill="1"/>
    <xf numFmtId="0" fontId="17" fillId="2" borderId="0" xfId="1" applyFont="1" applyFill="1"/>
    <xf numFmtId="0" fontId="32" fillId="2" borderId="0" xfId="0" applyFont="1" applyFill="1"/>
    <xf numFmtId="0" fontId="19" fillId="2" borderId="0" xfId="1" applyFont="1" applyFill="1"/>
    <xf numFmtId="0" fontId="33" fillId="2" borderId="0" xfId="0" applyFont="1" applyFill="1"/>
    <xf numFmtId="0" fontId="4" fillId="2" borderId="7" xfId="0" applyFont="1" applyFill="1" applyBorder="1"/>
    <xf numFmtId="49" fontId="1" fillId="2" borderId="0" xfId="0" applyNumberFormat="1" applyFont="1" applyFill="1" applyAlignment="1">
      <alignment horizontal="center" textRotation="90" wrapText="1"/>
    </xf>
    <xf numFmtId="0" fontId="4" fillId="2" borderId="0" xfId="0" applyFont="1" applyFill="1" applyAlignment="1">
      <alignment horizontal="center"/>
    </xf>
    <xf numFmtId="0" fontId="5" fillId="38" borderId="0" xfId="0" applyFont="1" applyFill="1" applyAlignment="1">
      <alignment horizontal="center"/>
    </xf>
    <xf numFmtId="0" fontId="4" fillId="26" borderId="0" xfId="0" applyFont="1" applyFill="1" applyBorder="1" applyAlignment="1">
      <alignment horizontal="center"/>
    </xf>
    <xf numFmtId="0" fontId="6" fillId="26" borderId="0" xfId="0" applyFont="1" applyFill="1" applyBorder="1" applyAlignment="1">
      <alignment horizontal="center"/>
    </xf>
    <xf numFmtId="0" fontId="5" fillId="3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1"/>
    <xf numFmtId="0" fontId="2" fillId="2" borderId="0" xfId="1" applyFill="1"/>
    <xf numFmtId="0" fontId="27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35" fillId="0" borderId="0" xfId="1" applyFont="1"/>
    <xf numFmtId="0" fontId="5" fillId="30" borderId="0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28" fillId="2" borderId="1" xfId="0" applyNumberFormat="1" applyFont="1" applyFill="1" applyBorder="1" applyAlignment="1">
      <alignment horizontal="center" vertical="center"/>
    </xf>
    <xf numFmtId="0" fontId="34" fillId="0" borderId="0" xfId="1" applyFont="1"/>
    <xf numFmtId="0" fontId="11" fillId="2" borderId="0" xfId="1" applyFont="1" applyFill="1" applyAlignment="1">
      <alignment horizontal="center"/>
    </xf>
    <xf numFmtId="0" fontId="35" fillId="2" borderId="0" xfId="1" applyFont="1" applyFill="1" applyAlignment="1">
      <alignment horizontal="center"/>
    </xf>
    <xf numFmtId="0" fontId="17" fillId="2" borderId="0" xfId="1" applyFont="1" applyFill="1" applyAlignment="1">
      <alignment horizontal="center"/>
    </xf>
    <xf numFmtId="0" fontId="19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9" fillId="2" borderId="0" xfId="1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Medium9"/>
  <colors>
    <mruColors>
      <color rgb="FF3366FF"/>
      <color rgb="FFFF9900"/>
      <color rgb="FF993300"/>
      <color rgb="FFFF3300"/>
      <color rgb="FF83AEE1"/>
      <color rgb="FFD89290"/>
      <color rgb="FFF042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49"/>
  <sheetViews>
    <sheetView tabSelected="1" workbookViewId="0">
      <selection activeCell="F45" sqref="F45"/>
    </sheetView>
  </sheetViews>
  <sheetFormatPr baseColWidth="10" defaultColWidth="9.140625" defaultRowHeight="15"/>
  <cols>
    <col min="1" max="1" width="8.140625" customWidth="1"/>
    <col min="2" max="2" width="5.7109375" customWidth="1"/>
    <col min="3" max="3" width="3.7109375" customWidth="1"/>
    <col min="4" max="4" width="1.7109375" customWidth="1"/>
    <col min="12" max="12" width="1.7109375" customWidth="1"/>
    <col min="13" max="13" width="3.7109375" customWidth="1"/>
    <col min="14" max="15" width="5.7109375" customWidth="1"/>
    <col min="16" max="16" width="3.7109375" customWidth="1"/>
    <col min="17" max="17" width="1.7109375" customWidth="1"/>
    <col min="18" max="20" width="9.140625" customWidth="1"/>
    <col min="25" max="25" width="1.7109375" customWidth="1"/>
    <col min="26" max="26" width="3.7109375" customWidth="1"/>
    <col min="27" max="27" width="5.7109375" customWidth="1"/>
    <col min="28" max="28" width="8.140625" customWidth="1"/>
  </cols>
  <sheetData>
    <row r="1" spans="1:28" ht="9.9499999999999993" customHeight="1">
      <c r="A1" s="1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"/>
    </row>
    <row r="2" spans="1:28" ht="8.1" customHeight="1">
      <c r="A2" s="1"/>
      <c r="B2" s="170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0"/>
      <c r="O2" s="173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73"/>
      <c r="AB2" s="1"/>
    </row>
    <row r="3" spans="1:28" ht="5.0999999999999996" customHeight="1">
      <c r="A3" s="1"/>
      <c r="B3" s="170"/>
      <c r="C3" s="171"/>
      <c r="D3" s="172"/>
      <c r="E3" s="172"/>
      <c r="F3" s="172"/>
      <c r="G3" s="172"/>
      <c r="H3" s="172"/>
      <c r="I3" s="172"/>
      <c r="J3" s="172"/>
      <c r="K3" s="172"/>
      <c r="L3" s="172"/>
      <c r="M3" s="171"/>
      <c r="N3" s="170"/>
      <c r="O3" s="173"/>
      <c r="P3" s="169"/>
      <c r="Q3" s="174"/>
      <c r="R3" s="174"/>
      <c r="S3" s="174"/>
      <c r="T3" s="174"/>
      <c r="U3" s="174"/>
      <c r="V3" s="174"/>
      <c r="W3" s="174"/>
      <c r="X3" s="174"/>
      <c r="Y3" s="174"/>
      <c r="Z3" s="169"/>
      <c r="AA3" s="173"/>
      <c r="AB3" s="1"/>
    </row>
    <row r="4" spans="1:28" ht="12" customHeight="1">
      <c r="A4" s="1"/>
      <c r="B4" s="170"/>
      <c r="C4" s="171"/>
      <c r="D4" s="172"/>
      <c r="E4" s="1"/>
      <c r="F4" s="1"/>
      <c r="G4" s="1"/>
      <c r="H4" s="1"/>
      <c r="I4" s="1"/>
      <c r="J4" s="1"/>
      <c r="K4" s="1"/>
      <c r="L4" s="172"/>
      <c r="M4" s="171"/>
      <c r="N4" s="170"/>
      <c r="O4" s="173"/>
      <c r="P4" s="169"/>
      <c r="Q4" s="174"/>
      <c r="R4" s="1"/>
      <c r="S4" s="1"/>
      <c r="T4" s="1"/>
      <c r="U4" s="1"/>
      <c r="V4" s="1"/>
      <c r="W4" s="1"/>
      <c r="X4" s="1"/>
      <c r="Y4" s="174"/>
      <c r="Z4" s="169"/>
      <c r="AA4" s="173"/>
      <c r="AB4" s="1"/>
    </row>
    <row r="5" spans="1:28" ht="12" customHeight="1">
      <c r="A5" s="1"/>
      <c r="B5" s="170"/>
      <c r="C5" s="171"/>
      <c r="D5" s="172"/>
      <c r="E5" s="1"/>
      <c r="F5" s="229" t="s">
        <v>421</v>
      </c>
      <c r="G5" s="229"/>
      <c r="H5" s="229"/>
      <c r="I5" s="229"/>
      <c r="J5" s="229"/>
      <c r="K5" s="1"/>
      <c r="L5" s="172"/>
      <c r="M5" s="171"/>
      <c r="N5" s="170"/>
      <c r="O5" s="173"/>
      <c r="P5" s="169"/>
      <c r="Q5" s="174"/>
      <c r="R5" s="1"/>
      <c r="S5" s="230" t="s">
        <v>422</v>
      </c>
      <c r="T5" s="230"/>
      <c r="U5" s="230"/>
      <c r="V5" s="230"/>
      <c r="W5" s="230"/>
      <c r="X5" s="1"/>
      <c r="Y5" s="174"/>
      <c r="Z5" s="169"/>
      <c r="AA5" s="173"/>
      <c r="AB5" s="1"/>
    </row>
    <row r="6" spans="1:28" ht="12" customHeight="1">
      <c r="A6" s="1"/>
      <c r="B6" s="170"/>
      <c r="C6" s="171"/>
      <c r="D6" s="172"/>
      <c r="E6" s="1"/>
      <c r="F6" s="229"/>
      <c r="G6" s="229"/>
      <c r="H6" s="229"/>
      <c r="I6" s="229"/>
      <c r="J6" s="229"/>
      <c r="K6" s="1"/>
      <c r="L6" s="172"/>
      <c r="M6" s="171"/>
      <c r="N6" s="170"/>
      <c r="O6" s="173"/>
      <c r="P6" s="169"/>
      <c r="Q6" s="174"/>
      <c r="R6" s="1"/>
      <c r="S6" s="230"/>
      <c r="T6" s="230"/>
      <c r="U6" s="230"/>
      <c r="V6" s="230"/>
      <c r="W6" s="230"/>
      <c r="X6" s="1"/>
      <c r="Y6" s="174"/>
      <c r="Z6" s="169"/>
      <c r="AA6" s="173"/>
      <c r="AB6" s="1"/>
    </row>
    <row r="7" spans="1:28" ht="12" customHeight="1">
      <c r="A7" s="1"/>
      <c r="B7" s="170"/>
      <c r="C7" s="171"/>
      <c r="D7" s="172"/>
      <c r="E7" s="1"/>
      <c r="F7" s="1"/>
      <c r="G7" s="1"/>
      <c r="H7" s="1"/>
      <c r="I7" s="1"/>
      <c r="J7" s="1"/>
      <c r="K7" s="1"/>
      <c r="L7" s="172"/>
      <c r="M7" s="171"/>
      <c r="N7" s="170"/>
      <c r="O7" s="173"/>
      <c r="P7" s="169"/>
      <c r="Q7" s="174"/>
      <c r="R7" s="1"/>
      <c r="S7" s="1"/>
      <c r="T7" s="1"/>
      <c r="U7" s="1"/>
      <c r="V7" s="1"/>
      <c r="W7" s="1"/>
      <c r="X7" s="1"/>
      <c r="Y7" s="174"/>
      <c r="Z7" s="169"/>
      <c r="AA7" s="173"/>
      <c r="AB7" s="1"/>
    </row>
    <row r="8" spans="1:28" ht="12" customHeight="1">
      <c r="A8" s="1"/>
      <c r="B8" s="170"/>
      <c r="C8" s="171"/>
      <c r="D8" s="172"/>
      <c r="E8" s="1"/>
      <c r="F8" s="224" t="s">
        <v>424</v>
      </c>
      <c r="G8" s="224"/>
      <c r="H8" s="224"/>
      <c r="I8" s="224"/>
      <c r="J8" s="224"/>
      <c r="K8" s="1"/>
      <c r="L8" s="172"/>
      <c r="M8" s="171"/>
      <c r="N8" s="170"/>
      <c r="O8" s="173"/>
      <c r="P8" s="169"/>
      <c r="Q8" s="174"/>
      <c r="R8" s="1"/>
      <c r="S8" s="231" t="s">
        <v>437</v>
      </c>
      <c r="T8" s="231"/>
      <c r="U8" s="231"/>
      <c r="V8" s="231"/>
      <c r="W8" s="231"/>
      <c r="X8" s="1"/>
      <c r="Y8" s="174"/>
      <c r="Z8" s="169"/>
      <c r="AA8" s="173"/>
      <c r="AB8" s="1"/>
    </row>
    <row r="9" spans="1:28" ht="12" customHeight="1">
      <c r="A9" s="1"/>
      <c r="B9" s="170"/>
      <c r="C9" s="171"/>
      <c r="D9" s="172"/>
      <c r="E9" s="1"/>
      <c r="F9" s="177"/>
      <c r="G9" s="177"/>
      <c r="H9" s="177"/>
      <c r="I9" s="177"/>
      <c r="J9" s="177"/>
      <c r="K9" s="1"/>
      <c r="L9" s="172"/>
      <c r="M9" s="171"/>
      <c r="N9" s="170"/>
      <c r="O9" s="173"/>
      <c r="P9" s="169"/>
      <c r="Q9" s="174"/>
      <c r="R9" s="1"/>
      <c r="S9" s="1"/>
      <c r="T9" s="1"/>
      <c r="U9" s="1"/>
      <c r="V9" s="1"/>
      <c r="W9" s="1"/>
      <c r="X9" s="1"/>
      <c r="Y9" s="174"/>
      <c r="Z9" s="169"/>
      <c r="AA9" s="173"/>
      <c r="AB9" s="1"/>
    </row>
    <row r="10" spans="1:28" ht="12" customHeight="1">
      <c r="A10" s="1"/>
      <c r="B10" s="170"/>
      <c r="C10" s="171"/>
      <c r="D10" s="172"/>
      <c r="E10" s="1"/>
      <c r="F10" s="224" t="s">
        <v>425</v>
      </c>
      <c r="G10" s="224"/>
      <c r="H10" s="224"/>
      <c r="I10" s="224"/>
      <c r="J10" s="224"/>
      <c r="K10" s="1"/>
      <c r="L10" s="172"/>
      <c r="M10" s="171"/>
      <c r="N10" s="170"/>
      <c r="O10" s="173"/>
      <c r="P10" s="169"/>
      <c r="Q10" s="174"/>
      <c r="R10" s="1"/>
      <c r="S10" s="226" t="s">
        <v>438</v>
      </c>
      <c r="T10" s="226"/>
      <c r="U10" s="226"/>
      <c r="V10" s="226"/>
      <c r="W10" s="226"/>
      <c r="X10" s="1"/>
      <c r="Y10" s="174"/>
      <c r="Z10" s="169"/>
      <c r="AA10" s="173"/>
      <c r="AB10" s="1"/>
    </row>
    <row r="11" spans="1:28" ht="12" customHeight="1">
      <c r="A11" s="1"/>
      <c r="B11" s="170"/>
      <c r="C11" s="171"/>
      <c r="D11" s="172"/>
      <c r="E11" s="1"/>
      <c r="F11" s="177"/>
      <c r="G11" s="177"/>
      <c r="H11" s="177"/>
      <c r="I11" s="177"/>
      <c r="J11" s="177"/>
      <c r="K11" s="1"/>
      <c r="L11" s="172"/>
      <c r="M11" s="171"/>
      <c r="N11" s="170"/>
      <c r="O11" s="173"/>
      <c r="P11" s="169"/>
      <c r="Q11" s="174"/>
      <c r="R11" s="1"/>
      <c r="S11" s="179"/>
      <c r="T11" s="179"/>
      <c r="U11" s="179"/>
      <c r="V11" s="179"/>
      <c r="W11" s="179"/>
      <c r="X11" s="1"/>
      <c r="Y11" s="174"/>
      <c r="Z11" s="169"/>
      <c r="AA11" s="173"/>
      <c r="AB11" s="1"/>
    </row>
    <row r="12" spans="1:28" ht="12" customHeight="1">
      <c r="A12" s="1"/>
      <c r="B12" s="170"/>
      <c r="C12" s="171"/>
      <c r="D12" s="172"/>
      <c r="E12" s="1"/>
      <c r="F12" s="224" t="s">
        <v>426</v>
      </c>
      <c r="G12" s="224"/>
      <c r="H12" s="224"/>
      <c r="I12" s="224"/>
      <c r="J12" s="224"/>
      <c r="K12" s="1"/>
      <c r="L12" s="172"/>
      <c r="M12" s="171"/>
      <c r="N12" s="170"/>
      <c r="O12" s="173"/>
      <c r="P12" s="169"/>
      <c r="Q12" s="174"/>
      <c r="R12" s="1"/>
      <c r="S12" s="226" t="s">
        <v>439</v>
      </c>
      <c r="T12" s="226"/>
      <c r="U12" s="226"/>
      <c r="V12" s="226"/>
      <c r="W12" s="226"/>
      <c r="X12" s="1"/>
      <c r="Y12" s="174"/>
      <c r="Z12" s="169"/>
      <c r="AA12" s="173"/>
      <c r="AB12" s="1"/>
    </row>
    <row r="13" spans="1:28" ht="12" customHeight="1">
      <c r="A13" s="1"/>
      <c r="B13" s="170"/>
      <c r="C13" s="171"/>
      <c r="D13" s="172"/>
      <c r="E13" s="1"/>
      <c r="F13" s="177"/>
      <c r="G13" s="177"/>
      <c r="H13" s="177"/>
      <c r="I13" s="177"/>
      <c r="J13" s="177"/>
      <c r="K13" s="1"/>
      <c r="L13" s="172"/>
      <c r="M13" s="171"/>
      <c r="N13" s="170"/>
      <c r="O13" s="173"/>
      <c r="P13" s="169"/>
      <c r="Q13" s="174"/>
      <c r="R13" s="1"/>
      <c r="S13" s="179"/>
      <c r="T13" s="179"/>
      <c r="U13" s="179"/>
      <c r="V13" s="179"/>
      <c r="W13" s="179"/>
      <c r="X13" s="1"/>
      <c r="Y13" s="174"/>
      <c r="Z13" s="169"/>
      <c r="AA13" s="173"/>
      <c r="AB13" s="1"/>
    </row>
    <row r="14" spans="1:28" ht="12" customHeight="1">
      <c r="A14" s="1"/>
      <c r="B14" s="170"/>
      <c r="C14" s="171"/>
      <c r="D14" s="172"/>
      <c r="E14" s="1"/>
      <c r="F14" s="224" t="s">
        <v>427</v>
      </c>
      <c r="G14" s="224"/>
      <c r="H14" s="224"/>
      <c r="I14" s="224"/>
      <c r="J14" s="224"/>
      <c r="K14" s="1"/>
      <c r="L14" s="172"/>
      <c r="M14" s="171"/>
      <c r="N14" s="170"/>
      <c r="O14" s="173"/>
      <c r="P14" s="169"/>
      <c r="Q14" s="174"/>
      <c r="R14" s="1"/>
      <c r="S14" s="226" t="s">
        <v>440</v>
      </c>
      <c r="T14" s="226"/>
      <c r="U14" s="226"/>
      <c r="V14" s="226"/>
      <c r="W14" s="226"/>
      <c r="X14" s="1"/>
      <c r="Y14" s="174"/>
      <c r="Z14" s="169"/>
      <c r="AA14" s="173"/>
      <c r="AB14" s="1"/>
    </row>
    <row r="15" spans="1:28" ht="12" customHeight="1">
      <c r="A15" s="1"/>
      <c r="B15" s="170"/>
      <c r="C15" s="171"/>
      <c r="D15" s="172"/>
      <c r="E15" s="1"/>
      <c r="F15" s="177"/>
      <c r="G15" s="177"/>
      <c r="H15" s="177"/>
      <c r="I15" s="177"/>
      <c r="J15" s="177"/>
      <c r="K15" s="1"/>
      <c r="L15" s="172"/>
      <c r="M15" s="171"/>
      <c r="N15" s="170"/>
      <c r="O15" s="173"/>
      <c r="P15" s="169"/>
      <c r="Q15" s="174"/>
      <c r="R15" s="1"/>
      <c r="S15" s="1"/>
      <c r="T15" s="1"/>
      <c r="U15" s="1"/>
      <c r="V15" s="1"/>
      <c r="W15" s="1"/>
      <c r="X15" s="1"/>
      <c r="Y15" s="174"/>
      <c r="Z15" s="169"/>
      <c r="AA15" s="173"/>
      <c r="AB15" s="1"/>
    </row>
    <row r="16" spans="1:28" ht="12" customHeight="1">
      <c r="A16" s="1"/>
      <c r="B16" s="170"/>
      <c r="C16" s="171"/>
      <c r="D16" s="172"/>
      <c r="E16" s="1"/>
      <c r="F16" s="224" t="s">
        <v>428</v>
      </c>
      <c r="G16" s="224"/>
      <c r="H16" s="224"/>
      <c r="I16" s="224"/>
      <c r="J16" s="224"/>
      <c r="K16" s="1"/>
      <c r="L16" s="172"/>
      <c r="M16" s="171"/>
      <c r="N16" s="170"/>
      <c r="O16" s="173"/>
      <c r="P16" s="169"/>
      <c r="Q16" s="174"/>
      <c r="R16" s="1"/>
      <c r="S16" s="227" t="s">
        <v>441</v>
      </c>
      <c r="T16" s="227"/>
      <c r="U16" s="227"/>
      <c r="V16" s="227"/>
      <c r="W16" s="227"/>
      <c r="X16" s="1"/>
      <c r="Y16" s="174"/>
      <c r="Z16" s="169"/>
      <c r="AA16" s="173"/>
      <c r="AB16" s="1"/>
    </row>
    <row r="17" spans="1:28" ht="12" customHeight="1">
      <c r="A17" s="1"/>
      <c r="B17" s="170"/>
      <c r="C17" s="171"/>
      <c r="D17" s="172"/>
      <c r="E17" s="1"/>
      <c r="F17" s="1"/>
      <c r="G17" s="1"/>
      <c r="H17" s="1"/>
      <c r="I17" s="1"/>
      <c r="J17" s="1"/>
      <c r="K17" s="1"/>
      <c r="L17" s="172"/>
      <c r="M17" s="171"/>
      <c r="N17" s="170"/>
      <c r="O17" s="173"/>
      <c r="P17" s="169"/>
      <c r="Q17" s="174"/>
      <c r="R17" s="1"/>
      <c r="S17" s="180"/>
      <c r="T17" s="180"/>
      <c r="U17" s="180"/>
      <c r="V17" s="180"/>
      <c r="W17" s="180"/>
      <c r="X17" s="1"/>
      <c r="Y17" s="174"/>
      <c r="Z17" s="169"/>
      <c r="AA17" s="173"/>
      <c r="AB17" s="1"/>
    </row>
    <row r="18" spans="1:28" ht="12" customHeight="1">
      <c r="A18" s="1"/>
      <c r="B18" s="170"/>
      <c r="C18" s="171"/>
      <c r="D18" s="172"/>
      <c r="E18" s="1"/>
      <c r="F18" s="228" t="s">
        <v>429</v>
      </c>
      <c r="G18" s="228"/>
      <c r="H18" s="228"/>
      <c r="I18" s="228"/>
      <c r="J18" s="228"/>
      <c r="K18" s="1"/>
      <c r="L18" s="172"/>
      <c r="M18" s="171"/>
      <c r="N18" s="170"/>
      <c r="O18" s="173"/>
      <c r="P18" s="169"/>
      <c r="Q18" s="174"/>
      <c r="R18" s="1"/>
      <c r="S18" s="227" t="s">
        <v>442</v>
      </c>
      <c r="T18" s="227"/>
      <c r="U18" s="227"/>
      <c r="V18" s="227"/>
      <c r="W18" s="227"/>
      <c r="X18" s="1"/>
      <c r="Y18" s="174"/>
      <c r="Z18" s="169"/>
      <c r="AA18" s="173"/>
      <c r="AB18" s="1"/>
    </row>
    <row r="19" spans="1:28" ht="12" customHeight="1">
      <c r="A19" s="1"/>
      <c r="B19" s="170"/>
      <c r="C19" s="171"/>
      <c r="D19" s="172"/>
      <c r="E19" s="1"/>
      <c r="F19" s="178"/>
      <c r="G19" s="178"/>
      <c r="H19" s="178"/>
      <c r="I19" s="178"/>
      <c r="J19" s="178"/>
      <c r="K19" s="1"/>
      <c r="L19" s="172"/>
      <c r="M19" s="171"/>
      <c r="N19" s="170"/>
      <c r="O19" s="173"/>
      <c r="P19" s="169"/>
      <c r="Q19" s="174"/>
      <c r="R19" s="1"/>
      <c r="S19" s="1"/>
      <c r="T19" s="1"/>
      <c r="U19" s="1"/>
      <c r="V19" s="1"/>
      <c r="W19" s="1"/>
      <c r="X19" s="1"/>
      <c r="Y19" s="174"/>
      <c r="Z19" s="169"/>
      <c r="AA19" s="173"/>
      <c r="AB19" s="1"/>
    </row>
    <row r="20" spans="1:28" ht="12" customHeight="1">
      <c r="A20" s="1"/>
      <c r="B20" s="170"/>
      <c r="C20" s="171"/>
      <c r="D20" s="172"/>
      <c r="E20" s="1"/>
      <c r="F20" s="228" t="s">
        <v>430</v>
      </c>
      <c r="G20" s="228"/>
      <c r="H20" s="228"/>
      <c r="I20" s="228"/>
      <c r="J20" s="228"/>
      <c r="K20" s="1"/>
      <c r="L20" s="172"/>
      <c r="M20" s="171"/>
      <c r="N20" s="170"/>
      <c r="O20" s="173"/>
      <c r="P20" s="169"/>
      <c r="Q20" s="174"/>
      <c r="R20" s="1"/>
      <c r="S20" s="225" t="s">
        <v>483</v>
      </c>
      <c r="T20" s="225"/>
      <c r="U20" s="225"/>
      <c r="V20" s="225"/>
      <c r="W20" s="225"/>
      <c r="X20" s="1"/>
      <c r="Y20" s="174"/>
      <c r="Z20" s="169"/>
      <c r="AA20" s="173"/>
      <c r="AB20" s="1"/>
    </row>
    <row r="21" spans="1:28" ht="12" customHeight="1">
      <c r="A21" s="1"/>
      <c r="B21" s="170"/>
      <c r="C21" s="171"/>
      <c r="D21" s="172"/>
      <c r="E21" s="1"/>
      <c r="F21" s="178"/>
      <c r="G21" s="178"/>
      <c r="H21" s="178"/>
      <c r="I21" s="178"/>
      <c r="J21" s="178"/>
      <c r="K21" s="1"/>
      <c r="L21" s="172"/>
      <c r="M21" s="171"/>
      <c r="N21" s="170"/>
      <c r="O21" s="173"/>
      <c r="P21" s="169"/>
      <c r="Q21" s="174"/>
      <c r="R21" s="1"/>
      <c r="S21" s="1"/>
      <c r="T21" s="1"/>
      <c r="U21" s="1"/>
      <c r="V21" s="1"/>
      <c r="W21" s="1"/>
      <c r="X21" s="1"/>
      <c r="Y21" s="174"/>
      <c r="Z21" s="169"/>
      <c r="AA21" s="173"/>
      <c r="AB21" s="1"/>
    </row>
    <row r="22" spans="1:28" ht="12" customHeight="1">
      <c r="A22" s="1"/>
      <c r="B22" s="170"/>
      <c r="C22" s="171"/>
      <c r="D22" s="172"/>
      <c r="E22" s="1"/>
      <c r="F22" s="228" t="s">
        <v>431</v>
      </c>
      <c r="G22" s="228"/>
      <c r="H22" s="228"/>
      <c r="I22" s="228"/>
      <c r="J22" s="228"/>
      <c r="K22" s="1"/>
      <c r="L22" s="172"/>
      <c r="M22" s="171"/>
      <c r="N22" s="170"/>
      <c r="O22" s="173"/>
      <c r="P22" s="169"/>
      <c r="Q22" s="174"/>
      <c r="R22" s="1"/>
      <c r="S22" s="1"/>
      <c r="T22" s="1"/>
      <c r="U22" s="1"/>
      <c r="V22" s="1"/>
      <c r="W22" s="1"/>
      <c r="X22" s="1"/>
      <c r="Y22" s="174"/>
      <c r="Z22" s="169"/>
      <c r="AA22" s="173"/>
      <c r="AB22" s="1"/>
    </row>
    <row r="23" spans="1:28" ht="12" customHeight="1">
      <c r="A23" s="1"/>
      <c r="B23" s="170"/>
      <c r="C23" s="171"/>
      <c r="D23" s="172"/>
      <c r="E23" s="1"/>
      <c r="F23" s="178"/>
      <c r="G23" s="178"/>
      <c r="H23" s="178"/>
      <c r="I23" s="178"/>
      <c r="J23" s="178"/>
      <c r="K23" s="1"/>
      <c r="L23" s="172"/>
      <c r="M23" s="171"/>
      <c r="N23" s="170"/>
      <c r="O23" s="173"/>
      <c r="P23" s="169"/>
      <c r="Q23" s="174"/>
      <c r="R23" s="1"/>
      <c r="S23" s="1"/>
      <c r="T23" s="1"/>
      <c r="U23" s="1"/>
      <c r="V23" s="1"/>
      <c r="W23" s="1"/>
      <c r="X23" s="1"/>
      <c r="Y23" s="174"/>
      <c r="Z23" s="169"/>
      <c r="AA23" s="173"/>
      <c r="AB23" s="1"/>
    </row>
    <row r="24" spans="1:28" ht="12" customHeight="1">
      <c r="A24" s="1"/>
      <c r="B24" s="170"/>
      <c r="C24" s="171"/>
      <c r="D24" s="172"/>
      <c r="E24" s="1"/>
      <c r="F24" s="228" t="s">
        <v>432</v>
      </c>
      <c r="G24" s="228"/>
      <c r="H24" s="228"/>
      <c r="I24" s="228"/>
      <c r="J24" s="228"/>
      <c r="K24" s="1"/>
      <c r="L24" s="172"/>
      <c r="M24" s="171"/>
      <c r="N24" s="170"/>
      <c r="O24" s="173"/>
      <c r="P24" s="169"/>
      <c r="Q24" s="174"/>
      <c r="R24" s="1"/>
      <c r="S24" s="1"/>
      <c r="T24" s="1"/>
      <c r="U24" s="1"/>
      <c r="V24" s="1"/>
      <c r="W24" s="1"/>
      <c r="X24" s="1"/>
      <c r="Y24" s="174"/>
      <c r="Z24" s="169"/>
      <c r="AA24" s="173"/>
      <c r="AB24" s="1"/>
    </row>
    <row r="25" spans="1:28" ht="12" customHeight="1">
      <c r="A25" s="1"/>
      <c r="B25" s="170"/>
      <c r="C25" s="171"/>
      <c r="D25" s="172"/>
      <c r="E25" s="1"/>
      <c r="F25" s="178"/>
      <c r="G25" s="178"/>
      <c r="H25" s="178"/>
      <c r="I25" s="178"/>
      <c r="J25" s="178"/>
      <c r="K25" s="1"/>
      <c r="L25" s="172"/>
      <c r="M25" s="171"/>
      <c r="N25" s="170"/>
      <c r="O25" s="173"/>
      <c r="P25" s="169"/>
      <c r="Q25" s="174"/>
      <c r="R25" s="1"/>
      <c r="S25" s="1"/>
      <c r="T25" s="1"/>
      <c r="U25" s="1"/>
      <c r="V25" s="1"/>
      <c r="W25" s="1"/>
      <c r="X25" s="1"/>
      <c r="Y25" s="174"/>
      <c r="Z25" s="169"/>
      <c r="AA25" s="173"/>
      <c r="AB25" s="1"/>
    </row>
    <row r="26" spans="1:28" ht="12" customHeight="1">
      <c r="A26" s="1"/>
      <c r="B26" s="170"/>
      <c r="C26" s="171"/>
      <c r="D26" s="172"/>
      <c r="E26" s="1"/>
      <c r="F26" s="228" t="s">
        <v>433</v>
      </c>
      <c r="G26" s="228"/>
      <c r="H26" s="228"/>
      <c r="I26" s="228"/>
      <c r="J26" s="228"/>
      <c r="K26" s="1"/>
      <c r="L26" s="172"/>
      <c r="M26" s="171"/>
      <c r="N26" s="170"/>
      <c r="O26" s="173"/>
      <c r="P26" s="169"/>
      <c r="Q26" s="174"/>
      <c r="R26" s="1"/>
      <c r="S26" s="1"/>
      <c r="T26" s="1"/>
      <c r="U26" s="1"/>
      <c r="V26" s="1"/>
      <c r="W26" s="1"/>
      <c r="X26" s="1"/>
      <c r="Y26" s="174"/>
      <c r="Z26" s="169"/>
      <c r="AA26" s="173"/>
      <c r="AB26" s="1"/>
    </row>
    <row r="27" spans="1:28" ht="12" customHeight="1">
      <c r="A27" s="1"/>
      <c r="B27" s="170"/>
      <c r="C27" s="171"/>
      <c r="D27" s="172"/>
      <c r="E27" s="1"/>
      <c r="F27" s="178"/>
      <c r="G27" s="178"/>
      <c r="H27" s="178"/>
      <c r="I27" s="178"/>
      <c r="J27" s="178"/>
      <c r="K27" s="1"/>
      <c r="L27" s="172"/>
      <c r="M27" s="171"/>
      <c r="N27" s="170"/>
      <c r="O27" s="173"/>
      <c r="P27" s="169"/>
      <c r="Q27" s="174"/>
      <c r="R27" s="1"/>
      <c r="S27" s="1"/>
      <c r="T27" s="1"/>
      <c r="U27" s="1"/>
      <c r="V27" s="1"/>
      <c r="W27" s="1"/>
      <c r="X27" s="1"/>
      <c r="Y27" s="174"/>
      <c r="Z27" s="169"/>
      <c r="AA27" s="173"/>
      <c r="AB27" s="1"/>
    </row>
    <row r="28" spans="1:28" ht="12" customHeight="1">
      <c r="A28" s="1"/>
      <c r="B28" s="170"/>
      <c r="C28" s="171"/>
      <c r="D28" s="172"/>
      <c r="E28" s="1"/>
      <c r="F28" s="228" t="s">
        <v>434</v>
      </c>
      <c r="G28" s="228"/>
      <c r="H28" s="228"/>
      <c r="I28" s="228"/>
      <c r="J28" s="228"/>
      <c r="K28" s="1"/>
      <c r="L28" s="172"/>
      <c r="M28" s="171"/>
      <c r="N28" s="170"/>
      <c r="O28" s="173"/>
      <c r="P28" s="169"/>
      <c r="Q28" s="174"/>
      <c r="R28" s="1"/>
      <c r="S28" s="1"/>
      <c r="T28" s="1"/>
      <c r="U28" s="1"/>
      <c r="V28" s="1"/>
      <c r="W28" s="1"/>
      <c r="X28" s="1"/>
      <c r="Y28" s="174"/>
      <c r="Z28" s="169"/>
      <c r="AA28" s="173"/>
      <c r="AB28" s="1"/>
    </row>
    <row r="29" spans="1:28" ht="12" customHeight="1">
      <c r="A29" s="1"/>
      <c r="B29" s="170"/>
      <c r="C29" s="171"/>
      <c r="D29" s="172"/>
      <c r="E29" s="1"/>
      <c r="F29" s="178"/>
      <c r="G29" s="178"/>
      <c r="H29" s="178"/>
      <c r="I29" s="178"/>
      <c r="J29" s="178"/>
      <c r="K29" s="1"/>
      <c r="L29" s="172"/>
      <c r="M29" s="171"/>
      <c r="N29" s="170"/>
      <c r="O29" s="173"/>
      <c r="P29" s="169"/>
      <c r="Q29" s="174"/>
      <c r="R29" s="1"/>
      <c r="S29" s="1"/>
      <c r="T29" s="1"/>
      <c r="U29" s="1"/>
      <c r="V29" s="1"/>
      <c r="W29" s="1"/>
      <c r="X29" s="1"/>
      <c r="Y29" s="174"/>
      <c r="Z29" s="169"/>
      <c r="AA29" s="173"/>
      <c r="AB29" s="1"/>
    </row>
    <row r="30" spans="1:28" ht="12" customHeight="1">
      <c r="A30" s="1"/>
      <c r="B30" s="170"/>
      <c r="C30" s="171"/>
      <c r="D30" s="172"/>
      <c r="E30" s="1"/>
      <c r="F30" s="228" t="s">
        <v>435</v>
      </c>
      <c r="G30" s="228"/>
      <c r="H30" s="228"/>
      <c r="I30" s="228"/>
      <c r="J30" s="228"/>
      <c r="K30" s="1"/>
      <c r="L30" s="172"/>
      <c r="M30" s="171"/>
      <c r="N30" s="170"/>
      <c r="O30" s="173"/>
      <c r="P30" s="169"/>
      <c r="Q30" s="174"/>
      <c r="R30" s="1"/>
      <c r="S30" s="1"/>
      <c r="T30" s="1"/>
      <c r="U30" s="1"/>
      <c r="V30" s="1"/>
      <c r="W30" s="1"/>
      <c r="X30" s="1"/>
      <c r="Y30" s="174"/>
      <c r="Z30" s="169"/>
      <c r="AA30" s="173"/>
      <c r="AB30" s="1"/>
    </row>
    <row r="31" spans="1:28" ht="12" customHeight="1">
      <c r="A31" s="1"/>
      <c r="B31" s="170"/>
      <c r="C31" s="171"/>
      <c r="D31" s="172"/>
      <c r="E31" s="1"/>
      <c r="F31" s="1"/>
      <c r="G31" s="1"/>
      <c r="H31" s="1"/>
      <c r="I31" s="1"/>
      <c r="J31" s="1"/>
      <c r="K31" s="1"/>
      <c r="L31" s="172"/>
      <c r="M31" s="171"/>
      <c r="N31" s="170"/>
      <c r="O31" s="173"/>
      <c r="P31" s="169"/>
      <c r="Q31" s="174"/>
      <c r="R31" s="1"/>
      <c r="S31" s="1"/>
      <c r="T31" s="1"/>
      <c r="U31" s="1"/>
      <c r="V31" s="1"/>
      <c r="W31" s="1"/>
      <c r="X31" s="1"/>
      <c r="Y31" s="174"/>
      <c r="Z31" s="169"/>
      <c r="AA31" s="173"/>
      <c r="AB31" s="1"/>
    </row>
    <row r="32" spans="1:28" ht="12" customHeight="1">
      <c r="A32" s="1"/>
      <c r="B32" s="170"/>
      <c r="C32" s="171"/>
      <c r="D32" s="172"/>
      <c r="E32" s="1"/>
      <c r="F32" s="224" t="s">
        <v>481</v>
      </c>
      <c r="G32" s="224"/>
      <c r="H32" s="224"/>
      <c r="I32" s="224"/>
      <c r="J32" s="224"/>
      <c r="K32" s="1"/>
      <c r="L32" s="172"/>
      <c r="M32" s="171"/>
      <c r="N32" s="170"/>
      <c r="O32" s="173"/>
      <c r="P32" s="169"/>
      <c r="Q32" s="174"/>
      <c r="R32" s="1"/>
      <c r="S32" s="1"/>
      <c r="T32" s="1"/>
      <c r="U32" s="1"/>
      <c r="V32" s="1"/>
      <c r="W32" s="1"/>
      <c r="X32" s="1"/>
      <c r="Y32" s="174"/>
      <c r="Z32" s="169"/>
      <c r="AA32" s="173"/>
      <c r="AB32" s="1"/>
    </row>
    <row r="33" spans="1:28" ht="12" customHeight="1">
      <c r="A33" s="1"/>
      <c r="B33" s="170"/>
      <c r="C33" s="171"/>
      <c r="D33" s="172"/>
      <c r="E33" s="1"/>
      <c r="F33" s="1"/>
      <c r="G33" s="1"/>
      <c r="H33" s="1"/>
      <c r="I33" s="1"/>
      <c r="J33" s="1"/>
      <c r="K33" s="1"/>
      <c r="L33" s="172"/>
      <c r="M33" s="171"/>
      <c r="N33" s="170"/>
      <c r="O33" s="173"/>
      <c r="P33" s="169"/>
      <c r="Q33" s="174"/>
      <c r="R33" s="1"/>
      <c r="S33" s="1"/>
      <c r="T33" s="1"/>
      <c r="U33" s="1"/>
      <c r="V33" s="1"/>
      <c r="W33" s="1"/>
      <c r="X33" s="1"/>
      <c r="Y33" s="174"/>
      <c r="Z33" s="169"/>
      <c r="AA33" s="173"/>
      <c r="AB33" s="1"/>
    </row>
    <row r="34" spans="1:28" ht="5.0999999999999996" customHeight="1">
      <c r="A34" s="1"/>
      <c r="B34" s="170"/>
      <c r="C34" s="171"/>
      <c r="D34" s="172"/>
      <c r="E34" s="172"/>
      <c r="F34" s="172"/>
      <c r="G34" s="172"/>
      <c r="H34" s="172"/>
      <c r="I34" s="172"/>
      <c r="J34" s="172"/>
      <c r="K34" s="172"/>
      <c r="L34" s="172"/>
      <c r="M34" s="171"/>
      <c r="N34" s="170"/>
      <c r="O34" s="173"/>
      <c r="P34" s="169"/>
      <c r="Q34" s="174"/>
      <c r="R34" s="174"/>
      <c r="S34" s="174"/>
      <c r="T34" s="174"/>
      <c r="U34" s="174"/>
      <c r="V34" s="174"/>
      <c r="W34" s="174"/>
      <c r="X34" s="174"/>
      <c r="Y34" s="174"/>
      <c r="Z34" s="169"/>
      <c r="AA34" s="173"/>
      <c r="AB34" s="1"/>
    </row>
    <row r="35" spans="1:28" ht="8.1" customHeight="1">
      <c r="A35" s="1"/>
      <c r="B35" s="170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0"/>
      <c r="O35" s="173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73"/>
      <c r="AB35" s="1"/>
    </row>
    <row r="36" spans="1:28" ht="9.9499999999999993" customHeight="1">
      <c r="A36" s="1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"/>
    </row>
    <row r="37" spans="1:2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</sheetData>
  <sheetProtection sheet="1" objects="1" scenarios="1"/>
  <mergeCells count="22">
    <mergeCell ref="F5:J6"/>
    <mergeCell ref="S5:W6"/>
    <mergeCell ref="F8:J8"/>
    <mergeCell ref="F10:J10"/>
    <mergeCell ref="S8:W8"/>
    <mergeCell ref="S10:W10"/>
    <mergeCell ref="F32:J32"/>
    <mergeCell ref="S20:W20"/>
    <mergeCell ref="S12:W12"/>
    <mergeCell ref="S14:W14"/>
    <mergeCell ref="S16:W16"/>
    <mergeCell ref="S18:W18"/>
    <mergeCell ref="F30:J30"/>
    <mergeCell ref="F28:J28"/>
    <mergeCell ref="F26:J26"/>
    <mergeCell ref="F24:J24"/>
    <mergeCell ref="F22:J22"/>
    <mergeCell ref="F20:J20"/>
    <mergeCell ref="F18:J18"/>
    <mergeCell ref="F16:J16"/>
    <mergeCell ref="F14:J14"/>
    <mergeCell ref="F12:J12"/>
  </mergeCells>
  <hyperlinks>
    <hyperlink ref="F8:J8" location="'Minas Tirith'!A1" display="Minas tirith"/>
    <hyperlink ref="F10:J10" location="'Los Feudos'!A1" display="Los Feudos"/>
    <hyperlink ref="F12:J12" location="Rohan!A1" display="Rohan"/>
    <hyperlink ref="F14:J14" location="Arnor!A1" display="Arnor"/>
    <hyperlink ref="F16:J16" location="Númenor!A1" display="Númenor"/>
    <hyperlink ref="F18:J18" location="'Eregion y Rivendell'!A1" display="Eregion y Rivendell"/>
    <hyperlink ref="F20:J20" location="'Lothlórien y el Bosque Negro'!A1" display="Lothlórien y el Bosque Negro"/>
    <hyperlink ref="F22:J22" location="'El Pueblo de Durin'!A1" display="El Pueblo de Durin"/>
    <hyperlink ref="F24:J24" location="'La Comarca'!A1" display="La Comarca"/>
    <hyperlink ref="F26:J26" location="'La Comunidad del Anillo'!A1" display="La Comunidad del Anillo"/>
    <hyperlink ref="F28:J28" location="'Los Caminantes Infatigables'!A1" display="Los Caminantes Infatigables"/>
    <hyperlink ref="F30:J30" location="'El Concilio Blanco'!A1" display="El Concilio Blanco"/>
    <hyperlink ref="S8:W8" location="Mordor!A1" display="Mordor"/>
    <hyperlink ref="S10:W10" location="Isengard!A1" display="Isengard"/>
    <hyperlink ref="S12:W12" location="'Harad y Umbar'!A1" display="Harad y Umbar"/>
    <hyperlink ref="S14:W14" location="'Los Reinos del Este'!A1" display="Los Reinos del Este"/>
    <hyperlink ref="S16:W16" location="Moria!A1" display="Moria"/>
    <hyperlink ref="S18:W18" location="Angmar!A1" display="Angmar"/>
    <hyperlink ref="F5:J6" location="'Fuerzas de la Luz'!A1" display="Fuerzas de la Luz"/>
    <hyperlink ref="S5:W6" location="'Huestes de la Oscuridad'!A1" display="Huestes de la Oscuridad"/>
    <hyperlink ref="F32:J32" location="'El Hobbit Luz'!A1" display="El Hobbit: Fuerzas de la Luz"/>
    <hyperlink ref="S20:W20" location="'El Hobbit Oscuridad'!A1" display="El Hobbit: Fuerzas de la Oscuridad"/>
  </hyperlink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35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6" width="3.28515625" customWidth="1"/>
    <col min="7" max="7" width="4.28515625" customWidth="1"/>
    <col min="8" max="17" width="3.28515625" customWidth="1"/>
    <col min="18" max="20" width="9.7109375" customWidth="1"/>
  </cols>
  <sheetData>
    <row r="1" spans="1:28" ht="170.1" customHeight="1">
      <c r="A1" s="175" t="s">
        <v>127</v>
      </c>
      <c r="B1" s="4" t="s">
        <v>3</v>
      </c>
      <c r="C1" s="5" t="s">
        <v>4</v>
      </c>
      <c r="D1" s="5" t="s">
        <v>108</v>
      </c>
      <c r="E1" s="5" t="s">
        <v>109</v>
      </c>
      <c r="F1" s="5" t="s">
        <v>89</v>
      </c>
      <c r="G1" s="5" t="s">
        <v>128</v>
      </c>
      <c r="H1" s="5" t="s">
        <v>129</v>
      </c>
      <c r="I1" s="5" t="s">
        <v>114</v>
      </c>
      <c r="J1" s="5" t="s">
        <v>17</v>
      </c>
      <c r="K1" s="5" t="s">
        <v>9</v>
      </c>
      <c r="L1" s="5" t="s">
        <v>10</v>
      </c>
      <c r="M1" s="5" t="s">
        <v>112</v>
      </c>
      <c r="N1" s="5" t="s">
        <v>12</v>
      </c>
      <c r="O1" s="5" t="s">
        <v>67</v>
      </c>
      <c r="P1" s="5" t="s">
        <v>14</v>
      </c>
      <c r="Q1" s="5" t="s">
        <v>130</v>
      </c>
      <c r="R1" s="5" t="s">
        <v>24</v>
      </c>
      <c r="S1" s="5" t="s">
        <v>0</v>
      </c>
      <c r="T1" s="5" t="s">
        <v>25</v>
      </c>
      <c r="V1" s="52"/>
      <c r="W1" s="1"/>
      <c r="X1" s="1"/>
      <c r="Y1" s="1"/>
      <c r="Z1" s="1"/>
      <c r="AA1" s="1"/>
      <c r="AB1" s="1"/>
    </row>
    <row r="2" spans="1:28">
      <c r="A2" s="6" t="s">
        <v>131</v>
      </c>
      <c r="B2" s="7">
        <v>130</v>
      </c>
      <c r="C2" s="73"/>
      <c r="D2" s="73"/>
      <c r="E2" s="74"/>
      <c r="F2" s="74"/>
      <c r="G2" s="74"/>
      <c r="H2" s="75"/>
      <c r="I2" s="75"/>
      <c r="J2" s="75"/>
      <c r="K2" s="73"/>
      <c r="L2" s="73"/>
      <c r="M2" s="74"/>
      <c r="N2" s="73"/>
      <c r="O2" s="73"/>
      <c r="P2" s="73"/>
      <c r="Q2" s="17"/>
      <c r="R2" s="7"/>
      <c r="S2" s="12">
        <f>R2*B2+(25*Q2)</f>
        <v>0</v>
      </c>
      <c r="T2" s="13">
        <f t="shared" ref="T2:T8" si="0">3*R2</f>
        <v>0</v>
      </c>
      <c r="U2" s="43"/>
      <c r="V2" s="43"/>
      <c r="W2" s="1"/>
      <c r="X2" s="1"/>
      <c r="Y2" s="1"/>
      <c r="Z2" s="1"/>
      <c r="AA2" s="1"/>
      <c r="AB2" s="1"/>
    </row>
    <row r="3" spans="1:28">
      <c r="A3" s="6" t="s">
        <v>132</v>
      </c>
      <c r="B3" s="7">
        <v>130</v>
      </c>
      <c r="C3" s="14"/>
      <c r="D3" s="76"/>
      <c r="E3" s="77"/>
      <c r="F3" s="17"/>
      <c r="G3" s="77"/>
      <c r="H3" s="76"/>
      <c r="I3" s="76"/>
      <c r="J3" s="76"/>
      <c r="K3" s="76"/>
      <c r="L3" s="76"/>
      <c r="M3" s="77"/>
      <c r="N3" s="76"/>
      <c r="O3" s="76"/>
      <c r="P3" s="14"/>
      <c r="Q3" s="77"/>
      <c r="R3" s="7"/>
      <c r="S3" s="12">
        <f>R3*B3+(5*C3+5*F3+10*P3)</f>
        <v>0</v>
      </c>
      <c r="T3" s="13">
        <f t="shared" si="0"/>
        <v>0</v>
      </c>
      <c r="U3" s="43"/>
      <c r="V3" s="43"/>
      <c r="W3" s="1"/>
      <c r="X3" s="1"/>
      <c r="Y3" s="1"/>
      <c r="Z3" s="1"/>
      <c r="AA3" s="1"/>
      <c r="AB3" s="1"/>
    </row>
    <row r="4" spans="1:28">
      <c r="A4" s="6" t="s">
        <v>133</v>
      </c>
      <c r="B4" s="7">
        <v>70</v>
      </c>
      <c r="C4" s="73"/>
      <c r="D4" s="14"/>
      <c r="E4" s="74"/>
      <c r="F4" s="74"/>
      <c r="G4" s="74"/>
      <c r="H4" s="75"/>
      <c r="I4" s="75"/>
      <c r="J4" s="45"/>
      <c r="K4" s="75"/>
      <c r="L4" s="73"/>
      <c r="M4" s="74"/>
      <c r="N4" s="73"/>
      <c r="O4" s="14"/>
      <c r="P4" s="73"/>
      <c r="Q4" s="74"/>
      <c r="R4" s="12"/>
      <c r="S4" s="12">
        <f>R4*B4+(5*D4+10*J4+5*O4)</f>
        <v>0</v>
      </c>
      <c r="T4" s="13">
        <f t="shared" si="0"/>
        <v>0</v>
      </c>
      <c r="U4" s="43"/>
      <c r="V4" s="43"/>
      <c r="W4" s="1"/>
      <c r="X4" s="1"/>
      <c r="Y4" s="1"/>
      <c r="Z4" s="1"/>
      <c r="AA4" s="1"/>
      <c r="AB4" s="1"/>
    </row>
    <row r="5" spans="1:28">
      <c r="A5" s="6" t="s">
        <v>134</v>
      </c>
      <c r="B5" s="7">
        <v>75</v>
      </c>
      <c r="C5" s="78"/>
      <c r="D5" s="78"/>
      <c r="E5" s="79"/>
      <c r="F5" s="79"/>
      <c r="G5" s="79"/>
      <c r="H5" s="78"/>
      <c r="I5" s="78"/>
      <c r="J5" s="45"/>
      <c r="K5" s="78"/>
      <c r="L5" s="78"/>
      <c r="M5" s="79"/>
      <c r="N5" s="78"/>
      <c r="O5" s="78"/>
      <c r="P5" s="78"/>
      <c r="Q5" s="79"/>
      <c r="R5" s="12"/>
      <c r="S5" s="12">
        <f>R5*B5+(10*J5)</f>
        <v>0</v>
      </c>
      <c r="T5" s="13">
        <f t="shared" si="0"/>
        <v>0</v>
      </c>
      <c r="U5" s="43"/>
      <c r="V5" s="43"/>
      <c r="W5" s="1"/>
      <c r="X5" s="1"/>
      <c r="Y5" s="1"/>
      <c r="Z5" s="1"/>
      <c r="AA5" s="1"/>
      <c r="AB5" s="1"/>
    </row>
    <row r="6" spans="1:28">
      <c r="A6" s="6" t="s">
        <v>135</v>
      </c>
      <c r="B6" s="7">
        <v>70</v>
      </c>
      <c r="C6" s="80"/>
      <c r="D6" s="48"/>
      <c r="E6" s="81"/>
      <c r="F6" s="81"/>
      <c r="G6" s="81"/>
      <c r="H6" s="80"/>
      <c r="I6" s="80"/>
      <c r="J6" s="45"/>
      <c r="K6" s="80"/>
      <c r="L6" s="80"/>
      <c r="M6" s="81"/>
      <c r="N6" s="80"/>
      <c r="O6" s="80"/>
      <c r="P6" s="80"/>
      <c r="Q6" s="81"/>
      <c r="R6" s="12"/>
      <c r="S6" s="12">
        <f>R6*B6+(5*D6+10*J6)</f>
        <v>0</v>
      </c>
      <c r="T6" s="13">
        <f t="shared" si="0"/>
        <v>0</v>
      </c>
      <c r="U6" s="43"/>
      <c r="V6" s="43"/>
      <c r="W6" s="1"/>
      <c r="X6" s="1"/>
      <c r="Y6" s="1"/>
      <c r="Z6" s="1"/>
      <c r="AA6" s="1"/>
      <c r="AB6" s="1"/>
    </row>
    <row r="7" spans="1:28">
      <c r="A7" s="6" t="s">
        <v>136</v>
      </c>
      <c r="B7" s="7">
        <v>90</v>
      </c>
      <c r="C7" s="78"/>
      <c r="D7" s="78"/>
      <c r="E7" s="79"/>
      <c r="F7" s="79"/>
      <c r="G7" s="79"/>
      <c r="H7" s="78"/>
      <c r="I7" s="78"/>
      <c r="J7" s="48"/>
      <c r="K7" s="78"/>
      <c r="L7" s="78"/>
      <c r="M7" s="37"/>
      <c r="N7" s="78"/>
      <c r="O7" s="48"/>
      <c r="P7" s="78"/>
      <c r="Q7" s="79"/>
      <c r="R7" s="18"/>
      <c r="S7" s="12">
        <f>R7*B7+(10*J7+10*M7+5*O7)</f>
        <v>0</v>
      </c>
      <c r="T7" s="13">
        <f t="shared" si="0"/>
        <v>0</v>
      </c>
      <c r="U7" s="43"/>
      <c r="V7" s="43"/>
      <c r="W7" s="1"/>
      <c r="X7" s="1"/>
      <c r="Y7" s="1"/>
      <c r="Z7" s="1"/>
      <c r="AA7" s="1"/>
      <c r="AB7" s="1"/>
    </row>
    <row r="8" spans="1:28">
      <c r="A8" s="6" t="s">
        <v>137</v>
      </c>
      <c r="B8" s="7">
        <v>90</v>
      </c>
      <c r="C8" s="80"/>
      <c r="D8" s="80"/>
      <c r="E8" s="81"/>
      <c r="F8" s="81"/>
      <c r="G8" s="81"/>
      <c r="H8" s="80"/>
      <c r="I8" s="80"/>
      <c r="J8" s="80"/>
      <c r="K8" s="80"/>
      <c r="L8" s="80"/>
      <c r="M8" s="81"/>
      <c r="N8" s="80"/>
      <c r="O8" s="80"/>
      <c r="P8" s="80"/>
      <c r="Q8" s="81"/>
      <c r="R8" s="12"/>
      <c r="S8" s="12">
        <f>R8*B8</f>
        <v>0</v>
      </c>
      <c r="T8" s="13">
        <f t="shared" si="0"/>
        <v>0</v>
      </c>
      <c r="U8" s="43"/>
      <c r="V8" s="43"/>
      <c r="W8" s="1"/>
      <c r="X8" s="1"/>
      <c r="Y8" s="1"/>
      <c r="Z8" s="1"/>
      <c r="AA8" s="1"/>
      <c r="AB8" s="1"/>
    </row>
    <row r="9" spans="1:28">
      <c r="A9" s="6" t="s">
        <v>138</v>
      </c>
      <c r="B9" s="7">
        <v>65</v>
      </c>
      <c r="C9" s="78"/>
      <c r="D9" s="48"/>
      <c r="E9" s="37"/>
      <c r="F9" s="79"/>
      <c r="G9" s="79"/>
      <c r="H9" s="78"/>
      <c r="I9" s="48"/>
      <c r="J9" s="48"/>
      <c r="K9" s="78"/>
      <c r="L9" s="78"/>
      <c r="M9" s="79"/>
      <c r="N9" s="78"/>
      <c r="O9" s="78"/>
      <c r="P9" s="78"/>
      <c r="Q9" s="79"/>
      <c r="R9" s="12"/>
      <c r="S9" s="12">
        <f>R9*B9+(5*D9+5*E9+5*I9+5*J9)</f>
        <v>0</v>
      </c>
      <c r="T9" s="13">
        <f>2*R9</f>
        <v>0</v>
      </c>
      <c r="U9" s="43"/>
      <c r="V9" s="43"/>
      <c r="W9" s="1"/>
      <c r="X9" s="1"/>
      <c r="Y9" s="1"/>
      <c r="Z9" s="1"/>
      <c r="AA9" s="1"/>
      <c r="AB9" s="1"/>
    </row>
    <row r="10" spans="1:28">
      <c r="A10" s="6" t="s">
        <v>139</v>
      </c>
      <c r="B10" s="19">
        <v>60</v>
      </c>
      <c r="C10" s="80"/>
      <c r="D10" s="80"/>
      <c r="E10" s="81"/>
      <c r="F10" s="81"/>
      <c r="G10" s="81"/>
      <c r="H10" s="80"/>
      <c r="I10" s="80"/>
      <c r="J10" s="80"/>
      <c r="K10" s="80"/>
      <c r="L10" s="80"/>
      <c r="M10" s="81"/>
      <c r="N10" s="80"/>
      <c r="O10" s="80"/>
      <c r="P10" s="80"/>
      <c r="Q10" s="81"/>
      <c r="R10" s="18"/>
      <c r="S10" s="12">
        <f>R10*B10</f>
        <v>0</v>
      </c>
      <c r="T10" s="13">
        <f>1*R10</f>
        <v>0</v>
      </c>
      <c r="U10" s="43"/>
      <c r="V10" s="43"/>
      <c r="W10" s="1"/>
      <c r="X10" s="1"/>
      <c r="Y10" s="1"/>
      <c r="Z10" s="1"/>
      <c r="AA10" s="1"/>
      <c r="AB10" s="1"/>
    </row>
    <row r="11" spans="1:28">
      <c r="A11" s="6" t="s">
        <v>140</v>
      </c>
      <c r="B11" s="19">
        <v>65</v>
      </c>
      <c r="C11" s="48"/>
      <c r="D11" s="45"/>
      <c r="E11" s="79"/>
      <c r="F11" s="69"/>
      <c r="G11" s="79"/>
      <c r="H11" s="78"/>
      <c r="I11" s="78"/>
      <c r="J11" s="78"/>
      <c r="K11" s="78"/>
      <c r="L11" s="78"/>
      <c r="M11" s="79"/>
      <c r="N11" s="48"/>
      <c r="O11" s="78"/>
      <c r="P11" s="78"/>
      <c r="Q11" s="79"/>
      <c r="R11" s="18"/>
      <c r="S11" s="12">
        <f>R11*B11+(5*C11+5*D11+5*F11+15*N11)</f>
        <v>0</v>
      </c>
      <c r="T11" s="13">
        <f>2*R11</f>
        <v>0</v>
      </c>
      <c r="U11" s="43"/>
      <c r="V11" s="43"/>
      <c r="W11" s="1"/>
      <c r="X11" s="1"/>
      <c r="Y11" s="1"/>
      <c r="Z11" s="1"/>
      <c r="AA11" s="1"/>
      <c r="AB11" s="1"/>
    </row>
    <row r="12" spans="1:28">
      <c r="A12" s="6" t="s">
        <v>126</v>
      </c>
      <c r="B12" s="19">
        <v>7</v>
      </c>
      <c r="C12" s="80"/>
      <c r="D12" s="45"/>
      <c r="E12" s="69"/>
      <c r="F12" s="69"/>
      <c r="G12" s="81"/>
      <c r="H12" s="48"/>
      <c r="I12" s="48"/>
      <c r="J12" s="48"/>
      <c r="K12" s="80"/>
      <c r="L12" s="48"/>
      <c r="M12" s="81"/>
      <c r="N12" s="80"/>
      <c r="O12" s="80"/>
      <c r="P12" s="80"/>
      <c r="Q12" s="81"/>
      <c r="R12" s="18"/>
      <c r="S12" s="12">
        <f>R12*B12+(2*D12+1*E12+1*F12+2*H12+2*I12+5*J12+25*L12)</f>
        <v>0</v>
      </c>
      <c r="T12" s="22"/>
      <c r="U12" s="43"/>
      <c r="V12" s="43"/>
      <c r="W12" s="1"/>
      <c r="X12" s="1"/>
      <c r="Y12" s="1"/>
      <c r="Z12" s="1"/>
      <c r="AA12" s="1"/>
      <c r="AB12" s="1"/>
    </row>
    <row r="13" spans="1:28">
      <c r="A13" s="6" t="s">
        <v>141</v>
      </c>
      <c r="B13" s="7">
        <v>8</v>
      </c>
      <c r="C13" s="45"/>
      <c r="D13" s="45"/>
      <c r="E13" s="37"/>
      <c r="F13" s="69"/>
      <c r="G13" s="37"/>
      <c r="H13" s="78"/>
      <c r="I13" s="78"/>
      <c r="J13" s="78"/>
      <c r="K13" s="48"/>
      <c r="L13" s="48"/>
      <c r="M13" s="79"/>
      <c r="N13" s="78"/>
      <c r="O13" s="78"/>
      <c r="P13" s="78"/>
      <c r="Q13" s="79"/>
      <c r="R13" s="12"/>
      <c r="S13" s="12">
        <f>R13*B13+(1*C13+2*D13+1*E13+1*F13+1*G13+20*K13+25*L13)</f>
        <v>0</v>
      </c>
      <c r="T13" s="22"/>
      <c r="U13" s="43"/>
      <c r="V13" s="43"/>
      <c r="W13" s="1"/>
      <c r="X13" s="1"/>
      <c r="Y13" s="1"/>
      <c r="Z13" s="1"/>
      <c r="AA13" s="1"/>
      <c r="AB13" s="1"/>
    </row>
    <row r="14" spans="1:28">
      <c r="A14" s="3" t="s">
        <v>142</v>
      </c>
      <c r="B14" s="35">
        <v>18</v>
      </c>
      <c r="C14" s="48"/>
      <c r="D14" s="48"/>
      <c r="E14" s="81"/>
      <c r="F14" s="37"/>
      <c r="G14" s="37"/>
      <c r="H14" s="80"/>
      <c r="I14" s="80"/>
      <c r="J14" s="80"/>
      <c r="K14" s="80"/>
      <c r="L14" s="48"/>
      <c r="M14" s="81"/>
      <c r="N14" s="80"/>
      <c r="O14" s="80"/>
      <c r="P14" s="80"/>
      <c r="Q14" s="81"/>
      <c r="R14" s="71"/>
      <c r="S14" s="12">
        <f>R14*B14+(1*C14+2*D14+1*F14+1*G14+25*L14)</f>
        <v>0</v>
      </c>
      <c r="T14" s="22"/>
      <c r="U14" s="43"/>
      <c r="V14" s="43"/>
      <c r="W14" s="1"/>
      <c r="X14" s="1"/>
      <c r="Y14" s="1"/>
      <c r="Z14" s="1"/>
      <c r="AA14" s="1"/>
      <c r="AB14" s="1"/>
    </row>
    <row r="15" spans="1:28">
      <c r="A15" s="3" t="s">
        <v>143</v>
      </c>
      <c r="B15" s="35">
        <v>25</v>
      </c>
      <c r="C15" s="78"/>
      <c r="D15" s="78"/>
      <c r="E15" s="79"/>
      <c r="F15" s="79"/>
      <c r="G15" s="79"/>
      <c r="H15" s="78"/>
      <c r="I15" s="78"/>
      <c r="J15" s="78"/>
      <c r="K15" s="78"/>
      <c r="L15" s="78"/>
      <c r="M15" s="79"/>
      <c r="N15" s="78"/>
      <c r="O15" s="78"/>
      <c r="P15" s="78"/>
      <c r="Q15" s="79"/>
      <c r="R15" s="82"/>
      <c r="S15" s="19">
        <f>B15*R15</f>
        <v>0</v>
      </c>
      <c r="T15" s="22"/>
      <c r="U15" s="43"/>
      <c r="V15" s="43"/>
      <c r="W15" s="1"/>
      <c r="X15" s="1"/>
      <c r="Y15" s="1"/>
      <c r="Z15" s="1"/>
      <c r="AA15" s="1"/>
      <c r="AB15" s="1"/>
    </row>
    <row r="16" spans="1:28">
      <c r="A16" s="3" t="s">
        <v>144</v>
      </c>
      <c r="B16" s="35">
        <v>12</v>
      </c>
      <c r="C16" s="80"/>
      <c r="D16" s="80"/>
      <c r="E16" s="81"/>
      <c r="F16" s="81"/>
      <c r="G16" s="81"/>
      <c r="H16" s="80"/>
      <c r="I16" s="80"/>
      <c r="J16" s="80"/>
      <c r="K16" s="80"/>
      <c r="L16" s="48"/>
      <c r="M16" s="81"/>
      <c r="N16" s="80"/>
      <c r="O16" s="80"/>
      <c r="P16" s="80"/>
      <c r="Q16" s="81"/>
      <c r="R16" s="82"/>
      <c r="S16" s="19">
        <f>B16*R16+(25*L16)</f>
        <v>0</v>
      </c>
      <c r="T16" s="22"/>
      <c r="U16" s="43"/>
      <c r="V16" s="43"/>
      <c r="W16" s="1"/>
      <c r="X16" s="1"/>
      <c r="Y16" s="1"/>
      <c r="Z16" s="1"/>
      <c r="AA16" s="1"/>
      <c r="AB16" s="1"/>
    </row>
    <row r="17" spans="1:28">
      <c r="A17" s="3"/>
      <c r="B17" s="35"/>
      <c r="C17" s="43"/>
      <c r="D17" s="43"/>
      <c r="E17" s="28"/>
      <c r="F17" s="28"/>
      <c r="G17" s="28"/>
      <c r="H17" s="43"/>
      <c r="I17" s="43"/>
      <c r="J17" s="43"/>
      <c r="K17" s="43"/>
      <c r="L17" s="43"/>
      <c r="M17" s="28"/>
      <c r="N17" s="43"/>
      <c r="O17" s="43"/>
      <c r="P17" s="1"/>
      <c r="Q17" s="1"/>
      <c r="R17" s="1"/>
      <c r="S17" s="1"/>
      <c r="T17" s="22"/>
      <c r="U17" s="43"/>
      <c r="V17" s="43"/>
      <c r="W17" s="27"/>
      <c r="X17" s="2"/>
      <c r="Y17" s="1"/>
      <c r="Z17" s="1"/>
      <c r="AA17" s="1"/>
      <c r="AB17" s="1"/>
    </row>
    <row r="18" spans="1:28" ht="15.75" thickBot="1">
      <c r="A18" s="3"/>
      <c r="B18" s="35"/>
      <c r="C18" s="43"/>
      <c r="D18" s="43"/>
      <c r="E18" s="28"/>
      <c r="F18" s="28"/>
      <c r="G18" s="28"/>
      <c r="H18" s="72"/>
      <c r="I18" s="1"/>
      <c r="J18" s="1"/>
      <c r="K18" s="43"/>
      <c r="L18" s="43"/>
      <c r="M18" s="28"/>
      <c r="N18" s="43"/>
      <c r="O18" s="43"/>
      <c r="P18" s="1"/>
      <c r="Q18" s="1"/>
      <c r="R18" s="27" t="s">
        <v>46</v>
      </c>
      <c r="S18" s="30" t="s">
        <v>47</v>
      </c>
      <c r="T18" s="30" t="s">
        <v>47</v>
      </c>
      <c r="U18" s="1"/>
      <c r="V18" s="1"/>
      <c r="W18" s="1"/>
      <c r="X18" s="36"/>
      <c r="Y18" s="1"/>
      <c r="Z18" s="1"/>
      <c r="AA18" s="1"/>
      <c r="AB18" s="1"/>
    </row>
    <row r="19" spans="1:28" ht="15.75" thickBot="1">
      <c r="A19" s="3"/>
      <c r="B19" s="35"/>
      <c r="C19" s="43"/>
      <c r="D19" s="43"/>
      <c r="E19" s="28"/>
      <c r="F19" s="28"/>
      <c r="G19" s="28"/>
      <c r="H19" s="43"/>
      <c r="I19" s="1"/>
      <c r="J19" s="1"/>
      <c r="K19" s="43"/>
      <c r="L19" s="43"/>
      <c r="M19" s="28"/>
      <c r="N19" s="43"/>
      <c r="O19" s="43"/>
      <c r="P19" s="44"/>
      <c r="Q19" s="1"/>
      <c r="R19" s="31">
        <f>SUM(R2:R16)</f>
        <v>0</v>
      </c>
      <c r="S19" s="58">
        <f>SUM(S2:S16)</f>
        <v>0</v>
      </c>
      <c r="T19" s="59">
        <f>SUM(T2:T11)</f>
        <v>0</v>
      </c>
      <c r="U19" s="1"/>
      <c r="V19" s="1"/>
      <c r="W19" s="1"/>
      <c r="X19" s="36"/>
      <c r="Y19" s="1"/>
      <c r="Z19" s="1"/>
      <c r="AA19" s="1"/>
      <c r="AB19" s="1"/>
    </row>
    <row r="20" spans="1:28">
      <c r="A20" s="3"/>
      <c r="B20" s="35"/>
      <c r="C20" s="43"/>
      <c r="D20" s="43"/>
      <c r="E20" s="28"/>
      <c r="F20" s="28"/>
      <c r="G20" s="28"/>
      <c r="H20" s="72"/>
      <c r="I20" s="1"/>
      <c r="J20" s="1"/>
      <c r="K20" s="43"/>
      <c r="L20" s="43"/>
      <c r="M20" s="28"/>
      <c r="N20" s="43"/>
      <c r="O20" s="43"/>
      <c r="P20" s="43"/>
      <c r="Q20" s="43"/>
      <c r="S20" s="43"/>
      <c r="T20" s="60"/>
      <c r="U20" s="1"/>
      <c r="V20" s="1"/>
      <c r="W20" s="1"/>
      <c r="X20" s="35"/>
      <c r="Y20" s="1"/>
      <c r="Z20" s="1"/>
      <c r="AA20" s="1"/>
      <c r="AB20" s="1"/>
    </row>
    <row r="21" spans="1:28">
      <c r="A21" s="3"/>
      <c r="B21" s="35"/>
      <c r="C21" s="43"/>
      <c r="D21" s="43"/>
      <c r="E21" s="28"/>
      <c r="F21" s="28"/>
      <c r="G21" s="28"/>
      <c r="H21" s="43"/>
      <c r="I21" s="1"/>
      <c r="J21" s="1"/>
      <c r="K21" s="43"/>
      <c r="L21" s="43"/>
      <c r="M21" s="28"/>
      <c r="N21" s="43"/>
      <c r="O21" s="43"/>
      <c r="P21" s="43"/>
      <c r="Q21" s="43"/>
      <c r="R21" s="27" t="s">
        <v>1</v>
      </c>
      <c r="S21" s="43"/>
      <c r="T21" s="60"/>
      <c r="U21" s="43"/>
      <c r="V21" s="43"/>
      <c r="W21" s="44"/>
      <c r="X21" s="35"/>
      <c r="Y21" s="1"/>
      <c r="Z21" s="1"/>
      <c r="AA21" s="1"/>
      <c r="AB21" s="1"/>
    </row>
    <row r="22" spans="1:28">
      <c r="A22" s="2"/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1"/>
      <c r="N22" s="1"/>
      <c r="O22" s="1"/>
      <c r="P22" s="1"/>
      <c r="Q22" s="28"/>
      <c r="R22" s="37">
        <f>ROUNDUP(R19/3,0)</f>
        <v>0</v>
      </c>
      <c r="S22" s="28"/>
      <c r="T22" s="22"/>
      <c r="U22" s="1"/>
      <c r="V22" s="28"/>
      <c r="W22" s="29"/>
      <c r="X22" s="27"/>
      <c r="Y22" s="1"/>
      <c r="Z22" s="1"/>
      <c r="AA22" s="1"/>
      <c r="AB22" s="1"/>
    </row>
    <row r="23" spans="1:28">
      <c r="A23" s="2"/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"/>
      <c r="N23" s="1"/>
      <c r="O23" s="1"/>
      <c r="P23" s="1"/>
      <c r="Q23" s="28"/>
      <c r="R23" s="28"/>
      <c r="S23" s="28"/>
      <c r="T23" s="22"/>
      <c r="U23" s="1"/>
      <c r="V23" s="28"/>
      <c r="W23" s="1"/>
      <c r="X23" s="1"/>
      <c r="Y23" s="1"/>
      <c r="Z23" s="1"/>
      <c r="AA23" s="1"/>
      <c r="AB23" s="1"/>
    </row>
    <row r="24" spans="1:28">
      <c r="A24" s="2"/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1"/>
      <c r="N24" s="1"/>
      <c r="O24" s="1"/>
      <c r="P24" s="1"/>
      <c r="Q24" s="28"/>
      <c r="R24" s="28"/>
      <c r="S24" s="28"/>
      <c r="T24" s="22"/>
      <c r="U24" s="1"/>
      <c r="V24" s="28"/>
      <c r="W24" s="1"/>
      <c r="X24" s="1"/>
      <c r="Y24" s="1"/>
      <c r="Z24" s="1"/>
      <c r="AA24" s="1"/>
      <c r="AB24" s="1"/>
    </row>
    <row r="25" spans="1:28">
      <c r="A25" s="2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1"/>
      <c r="N25" s="1"/>
      <c r="O25" s="1"/>
      <c r="P25" s="1"/>
      <c r="Q25" s="28"/>
      <c r="R25" s="28"/>
      <c r="S25" s="28"/>
      <c r="T25" s="22"/>
      <c r="U25" s="1"/>
      <c r="V25" s="28"/>
      <c r="W25" s="1"/>
      <c r="X25" s="1"/>
      <c r="Y25" s="1"/>
      <c r="Z25" s="1"/>
      <c r="AA25" s="1"/>
      <c r="AB25" s="1"/>
    </row>
    <row r="26" spans="1:28">
      <c r="A26" s="2"/>
      <c r="B26" s="35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1"/>
      <c r="N26" s="1"/>
      <c r="O26" s="1"/>
      <c r="P26" s="1"/>
      <c r="Q26" s="28"/>
      <c r="R26" s="28"/>
      <c r="S26" s="28"/>
      <c r="T26" s="22"/>
      <c r="U26" s="1"/>
      <c r="V26" s="28"/>
      <c r="W26" s="1"/>
      <c r="X26" s="1"/>
      <c r="Y26" s="1"/>
      <c r="Z26" s="1"/>
      <c r="AA26" s="1"/>
      <c r="AB26" s="1"/>
    </row>
    <row r="27" spans="1:28">
      <c r="A27" s="2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1"/>
      <c r="N27" s="1"/>
      <c r="O27" s="1"/>
      <c r="P27" s="1"/>
      <c r="Q27" s="28"/>
      <c r="R27" s="28"/>
      <c r="S27" s="28"/>
      <c r="T27" s="22"/>
      <c r="U27" s="1"/>
      <c r="V27" s="28"/>
      <c r="W27" s="1"/>
      <c r="X27" s="1"/>
      <c r="Y27" s="1"/>
      <c r="Z27" s="1"/>
      <c r="AA27" s="1"/>
      <c r="AB27" s="1"/>
    </row>
    <row r="28" spans="1:28">
      <c r="A28" s="2"/>
      <c r="B28" s="2"/>
      <c r="C28" s="36"/>
      <c r="D28" s="36"/>
      <c r="E28" s="36"/>
      <c r="F28" s="36"/>
      <c r="G28" s="28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9"/>
      <c r="U28" s="36"/>
      <c r="V28" s="1"/>
      <c r="W28" s="1"/>
      <c r="X28" s="1"/>
      <c r="Y28" s="1"/>
      <c r="Z28" s="1"/>
      <c r="AA28" s="1"/>
      <c r="AB28" s="1"/>
    </row>
    <row r="29" spans="1:28">
      <c r="A29" s="2"/>
      <c r="B29" s="2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2"/>
      <c r="U29" s="1"/>
      <c r="V29" s="1"/>
      <c r="W29" s="1"/>
      <c r="X29" s="1"/>
      <c r="Y29" s="1"/>
      <c r="Z29" s="1"/>
      <c r="AA29" s="1"/>
      <c r="AB29" s="1"/>
    </row>
    <row r="30" spans="1:2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2"/>
      <c r="U30" s="1"/>
      <c r="V30" s="1"/>
      <c r="W30" s="1"/>
      <c r="X30" s="1"/>
      <c r="Y30" s="1"/>
      <c r="Z30" s="1"/>
      <c r="AA30" s="1"/>
      <c r="AB30" s="1"/>
    </row>
    <row r="31" spans="1:28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2"/>
      <c r="U31" s="1"/>
      <c r="V31" s="1"/>
      <c r="W31" s="1"/>
      <c r="X31" s="1"/>
      <c r="Y31" s="1"/>
      <c r="Z31" s="1"/>
      <c r="AA31" s="1"/>
      <c r="AB31" s="1"/>
    </row>
    <row r="32" spans="1:2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2"/>
      <c r="U32" s="1"/>
      <c r="V32" s="1"/>
      <c r="W32" s="1"/>
      <c r="X32" s="1"/>
      <c r="Y32" s="1"/>
      <c r="Z32" s="1"/>
      <c r="AA32" s="1"/>
      <c r="AB32" s="1"/>
    </row>
    <row r="33" spans="1:28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2"/>
      <c r="U33" s="1"/>
      <c r="V33" s="1"/>
      <c r="W33" s="1"/>
      <c r="X33" s="1"/>
      <c r="Y33" s="1"/>
      <c r="Z33" s="1"/>
      <c r="AA33" s="1"/>
      <c r="AB33" s="1"/>
    </row>
    <row r="34" spans="1:2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2"/>
      <c r="U34" s="1"/>
      <c r="V34" s="1"/>
      <c r="W34" s="1"/>
      <c r="X34" s="1"/>
      <c r="Y34" s="1"/>
      <c r="Z34" s="1"/>
      <c r="AA34" s="1"/>
      <c r="AB34" s="1"/>
    </row>
    <row r="35" spans="1:2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2"/>
      <c r="U35" s="1"/>
      <c r="V35" s="1"/>
      <c r="W35" s="1"/>
      <c r="X35" s="1"/>
      <c r="Y35" s="1"/>
      <c r="Z35" s="1"/>
      <c r="AA35" s="1"/>
      <c r="AB35" s="1"/>
    </row>
  </sheetData>
  <hyperlinks>
    <hyperlink ref="A1" location="'Fuerzas de la Luz'!A1" display="Los Pueblos Libres:Lothlórien y el Bosque Negro"/>
  </hyperlinks>
  <pageMargins left="0.7" right="0.7" top="0.75" bottom="0.75" header="0.3" footer="0.3"/>
  <ignoredErrors>
    <ignoredError sqref="S9 T10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AA39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18" width="3.28515625" customWidth="1"/>
    <col min="19" max="21" width="9.7109375" customWidth="1"/>
  </cols>
  <sheetData>
    <row r="1" spans="1:27" ht="170.1" customHeight="1">
      <c r="A1" s="175" t="s">
        <v>145</v>
      </c>
      <c r="B1" s="4" t="s">
        <v>3</v>
      </c>
      <c r="C1" s="5" t="s">
        <v>4</v>
      </c>
      <c r="D1" s="5" t="s">
        <v>146</v>
      </c>
      <c r="E1" s="83" t="s">
        <v>147</v>
      </c>
      <c r="F1" s="5" t="s">
        <v>148</v>
      </c>
      <c r="G1" s="5" t="s">
        <v>149</v>
      </c>
      <c r="H1" s="5" t="s">
        <v>150</v>
      </c>
      <c r="I1" s="5" t="s">
        <v>151</v>
      </c>
      <c r="J1" s="5" t="s">
        <v>152</v>
      </c>
      <c r="K1" s="5" t="s">
        <v>10</v>
      </c>
      <c r="L1" s="5" t="s">
        <v>17</v>
      </c>
      <c r="M1" s="5" t="s">
        <v>153</v>
      </c>
      <c r="N1" s="5" t="s">
        <v>154</v>
      </c>
      <c r="O1" s="5" t="s">
        <v>19</v>
      </c>
      <c r="P1" s="84" t="s">
        <v>155</v>
      </c>
      <c r="Q1" s="84" t="s">
        <v>21</v>
      </c>
      <c r="R1" s="84" t="s">
        <v>156</v>
      </c>
      <c r="S1" s="5" t="s">
        <v>24</v>
      </c>
      <c r="T1" s="5" t="s">
        <v>0</v>
      </c>
      <c r="U1" s="5" t="s">
        <v>25</v>
      </c>
      <c r="V1" s="1"/>
      <c r="W1" s="1"/>
      <c r="X1" s="1"/>
      <c r="Y1" s="1"/>
      <c r="Z1" s="1"/>
      <c r="AA1" s="1"/>
    </row>
    <row r="2" spans="1:27">
      <c r="A2" s="6" t="s">
        <v>157</v>
      </c>
      <c r="B2" s="7">
        <v>160</v>
      </c>
      <c r="C2" s="85"/>
      <c r="D2" s="85"/>
      <c r="E2" s="86"/>
      <c r="F2" s="86"/>
      <c r="G2" s="86"/>
      <c r="H2" s="87"/>
      <c r="I2" s="87"/>
      <c r="J2" s="87"/>
      <c r="K2" s="85"/>
      <c r="L2" s="85"/>
      <c r="M2" s="86"/>
      <c r="N2" s="88"/>
      <c r="O2" s="89"/>
      <c r="P2" s="88"/>
      <c r="Q2" s="88"/>
      <c r="R2" s="89"/>
      <c r="S2" s="7"/>
      <c r="T2" s="12">
        <f>S2*B2</f>
        <v>0</v>
      </c>
      <c r="U2" s="13">
        <f>3*S2</f>
        <v>0</v>
      </c>
      <c r="V2" s="1"/>
      <c r="W2" s="1"/>
      <c r="X2" s="1"/>
      <c r="Y2" s="1"/>
      <c r="Z2" s="1"/>
      <c r="AA2" s="1"/>
    </row>
    <row r="3" spans="1:27">
      <c r="A3" s="6" t="s">
        <v>158</v>
      </c>
      <c r="B3" s="7">
        <v>75</v>
      </c>
      <c r="C3" s="90"/>
      <c r="D3" s="90"/>
      <c r="E3" s="91"/>
      <c r="F3" s="91"/>
      <c r="G3" s="91"/>
      <c r="H3" s="90"/>
      <c r="I3" s="90"/>
      <c r="J3" s="90"/>
      <c r="K3" s="90"/>
      <c r="L3" s="90"/>
      <c r="M3" s="91"/>
      <c r="N3" s="92"/>
      <c r="O3" s="93"/>
      <c r="P3" s="92"/>
      <c r="Q3" s="92"/>
      <c r="R3" s="93"/>
      <c r="S3" s="7"/>
      <c r="T3" s="12">
        <f>S3*B3</f>
        <v>0</v>
      </c>
      <c r="U3" s="13">
        <f>3*S3</f>
        <v>0</v>
      </c>
      <c r="V3" s="1"/>
      <c r="W3" s="1"/>
      <c r="X3" s="1"/>
      <c r="Y3" s="1"/>
      <c r="Z3" s="1"/>
      <c r="AA3" s="1"/>
    </row>
    <row r="4" spans="1:27">
      <c r="A4" s="6" t="s">
        <v>159</v>
      </c>
      <c r="B4" s="7">
        <v>75</v>
      </c>
      <c r="C4" s="85"/>
      <c r="D4" s="85"/>
      <c r="E4" s="86"/>
      <c r="F4" s="86"/>
      <c r="G4" s="86"/>
      <c r="H4" s="87"/>
      <c r="I4" s="87"/>
      <c r="J4" s="88"/>
      <c r="K4" s="87"/>
      <c r="L4" s="85"/>
      <c r="M4" s="17"/>
      <c r="N4" s="88"/>
      <c r="O4" s="89"/>
      <c r="P4" s="88"/>
      <c r="Q4" s="88"/>
      <c r="R4" s="89"/>
      <c r="S4" s="12"/>
      <c r="T4" s="12">
        <f>S4*B4+(10*M4)</f>
        <v>0</v>
      </c>
      <c r="U4" s="13">
        <f>3*S4</f>
        <v>0</v>
      </c>
      <c r="V4" s="1"/>
      <c r="W4" s="1"/>
      <c r="X4" s="1"/>
      <c r="Y4" s="1"/>
      <c r="Z4" s="1"/>
      <c r="AA4" s="1"/>
    </row>
    <row r="5" spans="1:27">
      <c r="A5" s="6" t="s">
        <v>160</v>
      </c>
      <c r="B5" s="7">
        <v>125</v>
      </c>
      <c r="C5" s="92"/>
      <c r="D5" s="92"/>
      <c r="E5" s="93"/>
      <c r="F5" s="93"/>
      <c r="G5" s="93"/>
      <c r="H5" s="92"/>
      <c r="I5" s="92"/>
      <c r="J5" s="92"/>
      <c r="K5" s="92"/>
      <c r="L5" s="92"/>
      <c r="M5" s="93"/>
      <c r="N5" s="92"/>
      <c r="O5" s="93"/>
      <c r="P5" s="92"/>
      <c r="Q5" s="92"/>
      <c r="R5" s="93"/>
      <c r="S5" s="12"/>
      <c r="T5" s="12">
        <f>S5*B5</f>
        <v>0</v>
      </c>
      <c r="U5" s="13">
        <f t="shared" ref="U5:U6" si="0">3*S5</f>
        <v>0</v>
      </c>
      <c r="V5" s="1"/>
      <c r="W5" s="1"/>
      <c r="X5" s="1"/>
      <c r="Y5" s="1"/>
      <c r="Z5" s="1"/>
      <c r="AA5" s="1"/>
    </row>
    <row r="6" spans="1:27">
      <c r="A6" s="6" t="s">
        <v>161</v>
      </c>
      <c r="B6" s="7">
        <v>90</v>
      </c>
      <c r="C6" s="88"/>
      <c r="D6" s="88"/>
      <c r="E6" s="89"/>
      <c r="F6" s="89"/>
      <c r="G6" s="89"/>
      <c r="H6" s="88"/>
      <c r="I6" s="88"/>
      <c r="J6" s="88"/>
      <c r="K6" s="88"/>
      <c r="L6" s="48"/>
      <c r="M6" s="89"/>
      <c r="N6" s="88"/>
      <c r="O6" s="89"/>
      <c r="P6" s="88"/>
      <c r="Q6" s="88"/>
      <c r="R6" s="89"/>
      <c r="S6" s="12"/>
      <c r="T6" s="12">
        <f>S6*B6+(10*L6)</f>
        <v>0</v>
      </c>
      <c r="U6" s="13">
        <f t="shared" si="0"/>
        <v>0</v>
      </c>
      <c r="V6" s="1"/>
      <c r="W6" s="1"/>
      <c r="X6" s="1"/>
      <c r="Y6" s="1"/>
      <c r="Z6" s="1"/>
      <c r="AA6" s="1"/>
    </row>
    <row r="7" spans="1:27">
      <c r="A7" s="6" t="s">
        <v>162</v>
      </c>
      <c r="B7" s="7">
        <v>70</v>
      </c>
      <c r="C7" s="92"/>
      <c r="D7" s="92"/>
      <c r="E7" s="93"/>
      <c r="F7" s="93"/>
      <c r="G7" s="93"/>
      <c r="H7" s="92"/>
      <c r="I7" s="92"/>
      <c r="J7" s="92"/>
      <c r="K7" s="92"/>
      <c r="L7" s="92"/>
      <c r="M7" s="93"/>
      <c r="N7" s="92"/>
      <c r="O7" s="93"/>
      <c r="P7" s="92"/>
      <c r="Q7" s="92"/>
      <c r="R7" s="93"/>
      <c r="S7" s="18"/>
      <c r="T7" s="12">
        <f>S7*B7</f>
        <v>0</v>
      </c>
      <c r="U7" s="13">
        <f>1*S7</f>
        <v>0</v>
      </c>
      <c r="V7" s="1"/>
      <c r="W7" s="1"/>
      <c r="X7" s="1"/>
      <c r="Y7" s="1"/>
      <c r="Z7" s="1"/>
      <c r="AA7" s="1"/>
    </row>
    <row r="8" spans="1:27">
      <c r="A8" s="6" t="s">
        <v>163</v>
      </c>
      <c r="B8" s="7">
        <v>150</v>
      </c>
      <c r="C8" s="88"/>
      <c r="D8" s="88"/>
      <c r="E8" s="89"/>
      <c r="F8" s="89"/>
      <c r="G8" s="89"/>
      <c r="H8" s="88"/>
      <c r="I8" s="88"/>
      <c r="J8" s="88"/>
      <c r="K8" s="88"/>
      <c r="L8" s="88"/>
      <c r="M8" s="89"/>
      <c r="N8" s="88"/>
      <c r="O8" s="89"/>
      <c r="P8" s="88"/>
      <c r="Q8" s="88"/>
      <c r="R8" s="89"/>
      <c r="S8" s="12"/>
      <c r="T8" s="12">
        <f>S8*B8</f>
        <v>0</v>
      </c>
      <c r="U8" s="13">
        <f>6*S8</f>
        <v>0</v>
      </c>
      <c r="V8" s="1"/>
      <c r="W8" s="1"/>
      <c r="X8" s="1"/>
      <c r="Y8" s="1"/>
      <c r="Z8" s="1"/>
      <c r="AA8" s="1"/>
    </row>
    <row r="9" spans="1:27">
      <c r="A9" s="6" t="s">
        <v>164</v>
      </c>
      <c r="B9" s="7">
        <v>60</v>
      </c>
      <c r="C9" s="48"/>
      <c r="D9" s="92"/>
      <c r="E9" s="93"/>
      <c r="F9" s="37"/>
      <c r="G9" s="37"/>
      <c r="H9" s="92"/>
      <c r="I9" s="92"/>
      <c r="J9" s="92"/>
      <c r="K9" s="92"/>
      <c r="L9" s="92"/>
      <c r="M9" s="93"/>
      <c r="N9" s="92"/>
      <c r="O9" s="93"/>
      <c r="P9" s="92"/>
      <c r="Q9" s="92"/>
      <c r="R9" s="93"/>
      <c r="S9" s="12"/>
      <c r="T9" s="12">
        <f>S9*B9+(5*C9+5*F9+5*G9)</f>
        <v>0</v>
      </c>
      <c r="U9" s="13">
        <f>2*S9</f>
        <v>0</v>
      </c>
      <c r="V9" s="1"/>
      <c r="W9" s="1"/>
      <c r="X9" s="1"/>
      <c r="Y9" s="1"/>
      <c r="Z9" s="1"/>
      <c r="AA9" s="1"/>
    </row>
    <row r="10" spans="1:27">
      <c r="A10" s="6" t="s">
        <v>165</v>
      </c>
      <c r="B10" s="19">
        <v>75</v>
      </c>
      <c r="C10" s="88"/>
      <c r="D10" s="88"/>
      <c r="E10" s="89"/>
      <c r="F10" s="37"/>
      <c r="G10" s="37"/>
      <c r="H10" s="88"/>
      <c r="I10" s="88"/>
      <c r="J10" s="88"/>
      <c r="K10" s="88"/>
      <c r="L10" s="88"/>
      <c r="M10" s="89"/>
      <c r="N10" s="88"/>
      <c r="O10" s="89"/>
      <c r="P10" s="88"/>
      <c r="Q10" s="88"/>
      <c r="R10" s="89"/>
      <c r="S10" s="18"/>
      <c r="T10" s="12">
        <f>S10*B10+(5*F10+5*G10)</f>
        <v>0</v>
      </c>
      <c r="U10" s="13">
        <f>2*S10</f>
        <v>0</v>
      </c>
      <c r="V10" s="1"/>
      <c r="W10" s="1"/>
      <c r="X10" s="1"/>
      <c r="Y10" s="1"/>
      <c r="Z10" s="1"/>
      <c r="AA10" s="1"/>
    </row>
    <row r="11" spans="1:27">
      <c r="A11" s="6" t="s">
        <v>166</v>
      </c>
      <c r="B11" s="19">
        <v>60</v>
      </c>
      <c r="C11" s="92"/>
      <c r="D11" s="92"/>
      <c r="E11" s="93"/>
      <c r="F11" s="93"/>
      <c r="G11" s="93"/>
      <c r="H11" s="92"/>
      <c r="I11" s="92"/>
      <c r="J11" s="92"/>
      <c r="K11" s="92"/>
      <c r="L11" s="92"/>
      <c r="M11" s="93"/>
      <c r="N11" s="92"/>
      <c r="O11" s="93"/>
      <c r="P11" s="92"/>
      <c r="Q11" s="92"/>
      <c r="R11" s="93"/>
      <c r="S11" s="18"/>
      <c r="T11" s="12">
        <f>S11*B11</f>
        <v>0</v>
      </c>
      <c r="U11" s="13">
        <f>1*S11</f>
        <v>0</v>
      </c>
      <c r="V11" s="1"/>
      <c r="W11" s="1"/>
      <c r="X11" s="1"/>
      <c r="Y11" s="1"/>
      <c r="Z11" s="1"/>
      <c r="AA11" s="1"/>
    </row>
    <row r="12" spans="1:27">
      <c r="A12" s="6" t="s">
        <v>167</v>
      </c>
      <c r="B12" s="19">
        <v>125</v>
      </c>
      <c r="C12" s="88"/>
      <c r="D12" s="88"/>
      <c r="E12" s="89"/>
      <c r="F12" s="89"/>
      <c r="G12" s="89"/>
      <c r="H12" s="88"/>
      <c r="I12" s="88"/>
      <c r="J12" s="88"/>
      <c r="K12" s="88"/>
      <c r="L12" s="88"/>
      <c r="M12" s="89"/>
      <c r="N12" s="88"/>
      <c r="O12" s="89"/>
      <c r="P12" s="88"/>
      <c r="Q12" s="88"/>
      <c r="R12" s="89"/>
      <c r="S12" s="18"/>
      <c r="T12" s="12">
        <f>S12*B12</f>
        <v>0</v>
      </c>
      <c r="U12" s="13">
        <f>2*S12</f>
        <v>0</v>
      </c>
      <c r="V12" s="1"/>
      <c r="W12" s="1"/>
      <c r="X12" s="1"/>
      <c r="Y12" s="1"/>
      <c r="Z12" s="1"/>
      <c r="AA12" s="1"/>
    </row>
    <row r="13" spans="1:27">
      <c r="A13" s="6" t="s">
        <v>168</v>
      </c>
      <c r="B13" s="7">
        <v>8</v>
      </c>
      <c r="C13" s="48"/>
      <c r="D13" s="48"/>
      <c r="E13" s="93"/>
      <c r="F13" s="69"/>
      <c r="G13" s="93"/>
      <c r="H13" s="48"/>
      <c r="I13" s="45"/>
      <c r="J13" s="48"/>
      <c r="K13" s="48"/>
      <c r="L13" s="92"/>
      <c r="M13" s="93"/>
      <c r="N13" s="92"/>
      <c r="O13" s="93"/>
      <c r="P13" s="92"/>
      <c r="Q13" s="92"/>
      <c r="R13" s="93"/>
      <c r="S13" s="12"/>
      <c r="T13" s="12">
        <f>S13*B13+(1*C13+1*D13+1*F13+2*H13+2*I13+20*J13+25*K13)</f>
        <v>0</v>
      </c>
      <c r="U13" s="22"/>
      <c r="V13" s="1"/>
      <c r="W13" s="1"/>
      <c r="X13" s="1"/>
      <c r="Y13" s="1"/>
      <c r="Z13" s="1"/>
      <c r="AA13" s="1"/>
    </row>
    <row r="14" spans="1:27">
      <c r="A14" s="3" t="s">
        <v>169</v>
      </c>
      <c r="B14" s="35">
        <v>7</v>
      </c>
      <c r="C14" s="88"/>
      <c r="D14" s="88"/>
      <c r="E14" s="37"/>
      <c r="F14" s="37"/>
      <c r="G14" s="37"/>
      <c r="H14" s="88"/>
      <c r="I14" s="48"/>
      <c r="J14" s="88"/>
      <c r="K14" s="88"/>
      <c r="L14" s="88"/>
      <c r="M14" s="89"/>
      <c r="N14" s="88"/>
      <c r="O14" s="89"/>
      <c r="P14" s="88"/>
      <c r="Q14" s="88"/>
      <c r="R14" s="89"/>
      <c r="S14" s="71"/>
      <c r="T14" s="12">
        <f>S14*B14+(3*E14+1*F14+3*G14+2*I14)</f>
        <v>0</v>
      </c>
      <c r="U14" s="22"/>
      <c r="V14" s="1"/>
      <c r="W14" s="1"/>
      <c r="X14" s="1"/>
      <c r="Y14" s="1"/>
      <c r="Z14" s="1"/>
      <c r="AA14" s="1"/>
    </row>
    <row r="15" spans="1:27">
      <c r="A15" s="3" t="s">
        <v>170</v>
      </c>
      <c r="B15" s="35">
        <v>15</v>
      </c>
      <c r="C15" s="92"/>
      <c r="D15" s="92"/>
      <c r="E15" s="93"/>
      <c r="F15" s="93"/>
      <c r="G15" s="93"/>
      <c r="H15" s="92"/>
      <c r="I15" s="92"/>
      <c r="J15" s="92"/>
      <c r="K15" s="92"/>
      <c r="L15" s="92"/>
      <c r="M15" s="93"/>
      <c r="N15" s="92"/>
      <c r="O15" s="93"/>
      <c r="P15" s="92"/>
      <c r="Q15" s="92"/>
      <c r="R15" s="93"/>
      <c r="S15" s="82"/>
      <c r="T15" s="19">
        <f>B15*S15</f>
        <v>0</v>
      </c>
      <c r="U15" s="22"/>
      <c r="V15" s="1"/>
      <c r="W15" s="1"/>
      <c r="X15" s="1"/>
      <c r="Y15" s="1"/>
      <c r="Z15" s="1"/>
      <c r="AA15" s="1"/>
    </row>
    <row r="16" spans="1:27">
      <c r="A16" s="3" t="s">
        <v>171</v>
      </c>
      <c r="B16" s="35">
        <v>25</v>
      </c>
      <c r="C16" s="88"/>
      <c r="D16" s="88"/>
      <c r="E16" s="89"/>
      <c r="F16" s="89"/>
      <c r="G16" s="89"/>
      <c r="H16" s="88"/>
      <c r="I16" s="88"/>
      <c r="J16" s="88"/>
      <c r="K16" s="88"/>
      <c r="L16" s="88"/>
      <c r="M16" s="89"/>
      <c r="N16" s="88"/>
      <c r="O16" s="89"/>
      <c r="P16" s="88"/>
      <c r="Q16" s="88"/>
      <c r="R16" s="89"/>
      <c r="S16" s="82"/>
      <c r="T16" s="19">
        <f t="shared" ref="T16:T17" si="1">B16*S16</f>
        <v>0</v>
      </c>
      <c r="U16" s="22"/>
      <c r="V16" s="1"/>
      <c r="W16" s="1"/>
      <c r="X16" s="1"/>
      <c r="Y16" s="1"/>
      <c r="Z16" s="1"/>
      <c r="AA16" s="1"/>
    </row>
    <row r="17" spans="1:27">
      <c r="A17" s="3" t="s">
        <v>172</v>
      </c>
      <c r="B17" s="35">
        <v>11</v>
      </c>
      <c r="C17" s="92"/>
      <c r="D17" s="92"/>
      <c r="E17" s="93"/>
      <c r="F17" s="93"/>
      <c r="G17" s="93"/>
      <c r="H17" s="92"/>
      <c r="I17" s="92"/>
      <c r="J17" s="92"/>
      <c r="K17" s="92"/>
      <c r="L17" s="92"/>
      <c r="M17" s="93"/>
      <c r="N17" s="92"/>
      <c r="O17" s="93"/>
      <c r="P17" s="92"/>
      <c r="Q17" s="92"/>
      <c r="R17" s="93"/>
      <c r="T17" s="19">
        <f t="shared" si="1"/>
        <v>0</v>
      </c>
      <c r="U17" s="22"/>
      <c r="V17" s="1"/>
      <c r="W17" s="1"/>
      <c r="X17" s="1"/>
      <c r="Y17" s="1"/>
      <c r="Z17" s="1"/>
      <c r="AA17" s="1"/>
    </row>
    <row r="18" spans="1:27">
      <c r="A18" s="3" t="s">
        <v>173</v>
      </c>
      <c r="B18" s="35">
        <v>60</v>
      </c>
      <c r="C18" s="88"/>
      <c r="D18" s="88"/>
      <c r="E18" s="89"/>
      <c r="F18" s="89"/>
      <c r="G18" s="89"/>
      <c r="H18" s="88"/>
      <c r="I18" s="88"/>
      <c r="J18" s="88"/>
      <c r="K18" s="88"/>
      <c r="L18" s="88"/>
      <c r="M18" s="89"/>
      <c r="N18" s="48"/>
      <c r="O18" s="37"/>
      <c r="P18" s="48"/>
      <c r="Q18" s="48"/>
      <c r="R18" s="37"/>
      <c r="S18" s="82"/>
      <c r="T18" s="19">
        <f>B18*S18+(75*N18+20*O18+15*P18+15*Q18+8*R18)</f>
        <v>0</v>
      </c>
      <c r="U18" s="22"/>
      <c r="V18" s="1"/>
      <c r="W18" s="1"/>
      <c r="X18" s="1"/>
      <c r="Y18" s="1"/>
      <c r="Z18" s="1"/>
      <c r="AA18" s="1"/>
    </row>
    <row r="19" spans="1:27">
      <c r="A19" s="3"/>
      <c r="B19" s="35"/>
      <c r="C19" s="43"/>
      <c r="D19" s="43"/>
      <c r="E19" s="28"/>
      <c r="F19" s="28"/>
      <c r="G19" s="28"/>
      <c r="H19" s="43"/>
      <c r="I19" s="1"/>
      <c r="J19" s="1"/>
      <c r="K19" s="43"/>
      <c r="L19" s="43"/>
      <c r="M19" s="28"/>
      <c r="N19" s="1"/>
      <c r="O19" s="1"/>
      <c r="P19" s="44"/>
      <c r="Q19" s="1"/>
      <c r="R19" s="1"/>
      <c r="S19" s="1"/>
      <c r="T19" s="1"/>
      <c r="U19" s="22"/>
      <c r="V19" s="1"/>
      <c r="W19" s="1"/>
      <c r="X19" s="1"/>
      <c r="Y19" s="1"/>
      <c r="Z19" s="1"/>
      <c r="AA19" s="1"/>
    </row>
    <row r="20" spans="1:27" ht="15.75" thickBot="1">
      <c r="A20" s="3"/>
      <c r="B20" s="35"/>
      <c r="C20" s="43"/>
      <c r="D20" s="43"/>
      <c r="E20" s="28"/>
      <c r="F20" s="28"/>
      <c r="G20" s="28"/>
      <c r="H20" s="72"/>
      <c r="I20" s="1"/>
      <c r="J20" s="1"/>
      <c r="K20" s="43"/>
      <c r="L20" s="43"/>
      <c r="M20" s="28"/>
      <c r="N20" s="1"/>
      <c r="O20" s="1"/>
      <c r="P20" s="43"/>
      <c r="Q20" s="43"/>
      <c r="R20" s="1"/>
      <c r="S20" s="27" t="s">
        <v>46</v>
      </c>
      <c r="T20" s="30" t="s">
        <v>47</v>
      </c>
      <c r="U20" s="30" t="s">
        <v>47</v>
      </c>
      <c r="V20" s="1"/>
      <c r="W20" s="1"/>
      <c r="X20" s="1"/>
      <c r="Y20" s="1"/>
      <c r="Z20" s="1"/>
      <c r="AA20" s="1"/>
    </row>
    <row r="21" spans="1:27" ht="15.75" thickBot="1">
      <c r="A21" s="3"/>
      <c r="B21" s="35"/>
      <c r="C21" s="43"/>
      <c r="D21" s="43"/>
      <c r="E21" s="28"/>
      <c r="F21" s="28"/>
      <c r="G21" s="28"/>
      <c r="H21" s="43"/>
      <c r="I21" s="1"/>
      <c r="J21" s="1"/>
      <c r="K21" s="43"/>
      <c r="L21" s="43"/>
      <c r="M21" s="28"/>
      <c r="N21" s="1"/>
      <c r="O21" s="1"/>
      <c r="P21" s="43"/>
      <c r="Q21" s="43"/>
      <c r="R21" s="1"/>
      <c r="S21" s="31">
        <f>SUM(S2:S18)</f>
        <v>0</v>
      </c>
      <c r="T21" s="58">
        <f>SUM(T2:T18)</f>
        <v>0</v>
      </c>
      <c r="U21" s="59">
        <f>SUM(U2:U12)</f>
        <v>0</v>
      </c>
      <c r="V21" s="1"/>
      <c r="W21" s="1"/>
      <c r="X21" s="1"/>
      <c r="Y21" s="1"/>
      <c r="Z21" s="1"/>
      <c r="AA21" s="1"/>
    </row>
    <row r="22" spans="1:2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T22" s="43"/>
      <c r="U22" s="22"/>
      <c r="V22" s="1"/>
      <c r="W22" s="1"/>
      <c r="X22" s="1"/>
      <c r="Y22" s="1"/>
      <c r="Z22" s="1"/>
      <c r="AA22" s="1"/>
    </row>
    <row r="23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27" t="s">
        <v>1</v>
      </c>
      <c r="T23" s="43"/>
      <c r="U23" s="22"/>
      <c r="V23" s="1"/>
      <c r="W23" s="1"/>
      <c r="X23" s="1"/>
      <c r="Y23" s="1"/>
      <c r="Z23" s="1"/>
      <c r="AA23" s="1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37">
        <f>ROUNDUP(S21/3,0)</f>
        <v>0</v>
      </c>
      <c r="T24" s="1"/>
      <c r="U24" s="22"/>
      <c r="V24" s="1"/>
      <c r="W24" s="1"/>
      <c r="X24" s="1"/>
      <c r="Y24" s="1"/>
      <c r="Z24" s="1"/>
      <c r="AA24" s="1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22"/>
      <c r="V25" s="1"/>
      <c r="W25" s="1"/>
      <c r="X25" s="1"/>
      <c r="Y25" s="1"/>
      <c r="Z25" s="1"/>
      <c r="AA25" s="1"/>
    </row>
    <row r="26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22"/>
      <c r="V26" s="1"/>
      <c r="W26" s="1"/>
      <c r="X26" s="1"/>
      <c r="Y26" s="1"/>
      <c r="Z26" s="1"/>
      <c r="AA26" s="1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2"/>
      <c r="V27" s="1"/>
      <c r="W27" s="1"/>
      <c r="X27" s="1"/>
      <c r="Y27" s="1"/>
      <c r="Z27" s="1"/>
      <c r="AA27" s="1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2"/>
      <c r="V28" s="1"/>
      <c r="W28" s="1"/>
      <c r="X28" s="1"/>
      <c r="Y28" s="1"/>
      <c r="Z28" s="1"/>
      <c r="AA28" s="1"/>
    </row>
    <row r="29" spans="1:2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2"/>
      <c r="V29" s="1"/>
      <c r="W29" s="1"/>
      <c r="X29" s="1"/>
      <c r="Y29" s="1"/>
      <c r="Z29" s="1"/>
      <c r="AA29" s="1"/>
    </row>
    <row r="30" spans="1:2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22"/>
      <c r="V30" s="1"/>
      <c r="W30" s="1"/>
      <c r="X30" s="1"/>
      <c r="Y30" s="1"/>
      <c r="Z30" s="1"/>
      <c r="AA30" s="1"/>
    </row>
    <row r="31" spans="1:2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2"/>
      <c r="V31" s="1"/>
      <c r="W31" s="1"/>
      <c r="X31" s="1"/>
      <c r="Y31" s="1"/>
      <c r="Z31" s="1"/>
      <c r="AA31" s="1"/>
    </row>
    <row r="32" spans="1:2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22"/>
      <c r="V32" s="1"/>
      <c r="W32" s="1"/>
      <c r="X32" s="1"/>
      <c r="Y32" s="1"/>
      <c r="Z32" s="1"/>
      <c r="AA32" s="1"/>
    </row>
    <row r="33" spans="1:2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2"/>
      <c r="V33" s="1"/>
      <c r="W33" s="1"/>
      <c r="X33" s="1"/>
      <c r="Y33" s="1"/>
      <c r="Z33" s="1"/>
      <c r="AA33" s="1"/>
    </row>
    <row r="34" spans="1:2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22"/>
      <c r="V34" s="1"/>
      <c r="W34" s="1"/>
      <c r="X34" s="1"/>
      <c r="Y34" s="1"/>
      <c r="Z34" s="1"/>
      <c r="AA34" s="1"/>
    </row>
    <row r="35" spans="1:2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2"/>
      <c r="V35" s="1"/>
      <c r="W35" s="1"/>
      <c r="X35" s="1"/>
      <c r="Y35" s="1"/>
      <c r="Z35" s="1"/>
      <c r="AA35" s="1"/>
    </row>
    <row r="36" spans="1:2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22"/>
      <c r="V36" s="1"/>
      <c r="W36" s="1"/>
      <c r="X36" s="1"/>
      <c r="Y36" s="1"/>
      <c r="Z36" s="1"/>
      <c r="AA36" s="1"/>
    </row>
    <row r="37" spans="1:2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22"/>
      <c r="V37" s="1"/>
      <c r="W37" s="1"/>
      <c r="X37" s="1"/>
      <c r="Y37" s="1"/>
      <c r="Z37" s="1"/>
      <c r="AA37" s="1"/>
    </row>
    <row r="38" spans="1:2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22"/>
      <c r="V38" s="1"/>
      <c r="W38" s="1"/>
      <c r="X38" s="1"/>
      <c r="Y38" s="1"/>
      <c r="Z38" s="1"/>
      <c r="AA38" s="1"/>
    </row>
    <row r="39" spans="1:2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2"/>
      <c r="V39" s="1"/>
      <c r="W39" s="1"/>
      <c r="X39" s="1"/>
      <c r="Y39" s="1"/>
      <c r="Z39" s="1"/>
      <c r="AA39" s="1"/>
    </row>
  </sheetData>
  <hyperlinks>
    <hyperlink ref="A1" location="'Fuerzas de la Luz'!A1" display="Los Pueblos Libres: El Pueblo de Durin"/>
  </hyperlinks>
  <pageMargins left="0.7" right="0.7" top="0.75" bottom="0.75" header="0.3" footer="0.3"/>
  <ignoredErrors>
    <ignoredError sqref="T6 T4 U11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T33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8" width="3.28515625" customWidth="1"/>
    <col min="9" max="11" width="9.7109375" customWidth="1"/>
  </cols>
  <sheetData>
    <row r="1" spans="1:20" ht="170.1" customHeight="1">
      <c r="A1" s="175" t="s">
        <v>174</v>
      </c>
      <c r="B1" s="4" t="s">
        <v>3</v>
      </c>
      <c r="C1" s="5" t="s">
        <v>9</v>
      </c>
      <c r="D1" s="5" t="s">
        <v>175</v>
      </c>
      <c r="E1" s="5" t="s">
        <v>176</v>
      </c>
      <c r="F1" s="5" t="s">
        <v>4</v>
      </c>
      <c r="G1" s="5" t="s">
        <v>13</v>
      </c>
      <c r="H1" s="5" t="s">
        <v>17</v>
      </c>
      <c r="I1" s="5" t="s">
        <v>24</v>
      </c>
      <c r="J1" s="5" t="s">
        <v>0</v>
      </c>
      <c r="K1" s="5" t="s">
        <v>25</v>
      </c>
      <c r="L1" s="52"/>
      <c r="M1" s="52"/>
      <c r="N1" s="52"/>
      <c r="O1" s="52"/>
      <c r="P1" s="52"/>
      <c r="Q1" s="52"/>
      <c r="R1" s="52"/>
      <c r="S1" s="1"/>
      <c r="T1" s="1"/>
    </row>
    <row r="2" spans="1:20">
      <c r="A2" s="6" t="s">
        <v>177</v>
      </c>
      <c r="B2" s="7">
        <v>65</v>
      </c>
      <c r="C2" s="94"/>
      <c r="D2" s="94"/>
      <c r="E2" s="95"/>
      <c r="F2" s="95"/>
      <c r="G2" s="17"/>
      <c r="H2" s="21"/>
      <c r="I2" s="7"/>
      <c r="J2" s="12">
        <f>I2*B2+(5*G2+10*H2)</f>
        <v>0</v>
      </c>
      <c r="K2" s="13">
        <f>1*I2</f>
        <v>0</v>
      </c>
      <c r="L2" s="43"/>
      <c r="M2" s="28"/>
      <c r="N2" s="60"/>
      <c r="O2" s="44"/>
      <c r="P2" s="60"/>
      <c r="Q2" s="60"/>
      <c r="R2" s="44"/>
      <c r="S2" s="1"/>
      <c r="T2" s="1"/>
    </row>
    <row r="3" spans="1:20">
      <c r="A3" s="6" t="s">
        <v>178</v>
      </c>
      <c r="B3" s="7">
        <v>50</v>
      </c>
      <c r="C3" s="96"/>
      <c r="D3" s="96"/>
      <c r="E3" s="97"/>
      <c r="F3" s="97"/>
      <c r="G3" s="17"/>
      <c r="H3" s="14"/>
      <c r="I3" s="7"/>
      <c r="J3" s="12">
        <f t="shared" ref="J3:J4" si="0">I3*B3+(5*G3+10*H3)</f>
        <v>0</v>
      </c>
      <c r="K3" s="13">
        <f>2*I3</f>
        <v>0</v>
      </c>
      <c r="L3" s="43"/>
      <c r="M3" s="28"/>
      <c r="N3" s="60"/>
      <c r="O3" s="44"/>
      <c r="P3" s="60"/>
      <c r="Q3" s="60"/>
      <c r="R3" s="44"/>
      <c r="S3" s="1"/>
      <c r="T3" s="1"/>
    </row>
    <row r="4" spans="1:20">
      <c r="A4" s="6" t="s">
        <v>179</v>
      </c>
      <c r="B4" s="7">
        <v>30</v>
      </c>
      <c r="C4" s="94"/>
      <c r="D4" s="94"/>
      <c r="E4" s="95"/>
      <c r="F4" s="95"/>
      <c r="G4" s="17"/>
      <c r="H4" s="21"/>
      <c r="I4" s="12"/>
      <c r="J4" s="12">
        <f t="shared" si="0"/>
        <v>0</v>
      </c>
      <c r="K4" s="13">
        <f t="shared" ref="K4:K9" si="1">1*I4</f>
        <v>0</v>
      </c>
      <c r="L4" s="43"/>
      <c r="M4" s="28"/>
      <c r="N4" s="60"/>
      <c r="O4" s="44"/>
      <c r="P4" s="60"/>
      <c r="Q4" s="60"/>
      <c r="R4" s="44"/>
      <c r="S4" s="1"/>
      <c r="T4" s="1"/>
    </row>
    <row r="5" spans="1:20">
      <c r="A5" s="6" t="s">
        <v>180</v>
      </c>
      <c r="B5" s="7">
        <v>30</v>
      </c>
      <c r="C5" s="98"/>
      <c r="D5" s="98"/>
      <c r="E5" s="99"/>
      <c r="F5" s="100"/>
      <c r="G5" s="37"/>
      <c r="H5" s="48"/>
      <c r="I5" s="12"/>
      <c r="J5" s="12">
        <f>I5*B5+(5*F5+5*G5+10*H5)</f>
        <v>0</v>
      </c>
      <c r="K5" s="13">
        <f t="shared" si="1"/>
        <v>0</v>
      </c>
      <c r="L5" s="60"/>
      <c r="M5" s="44"/>
      <c r="N5" s="60"/>
      <c r="O5" s="44"/>
      <c r="P5" s="60"/>
      <c r="Q5" s="60"/>
      <c r="R5" s="44"/>
      <c r="S5" s="1"/>
      <c r="T5" s="1"/>
    </row>
    <row r="6" spans="1:20">
      <c r="A6" s="6" t="s">
        <v>181</v>
      </c>
      <c r="B6" s="7">
        <v>25</v>
      </c>
      <c r="C6" s="94"/>
      <c r="D6" s="94"/>
      <c r="E6" s="95"/>
      <c r="F6" s="95"/>
      <c r="G6" s="95"/>
      <c r="H6" s="101"/>
      <c r="I6" s="12"/>
      <c r="J6" s="12">
        <f>I6*B6</f>
        <v>0</v>
      </c>
      <c r="K6" s="13">
        <f t="shared" si="1"/>
        <v>0</v>
      </c>
      <c r="L6" s="43"/>
      <c r="M6" s="28"/>
      <c r="N6" s="60"/>
      <c r="O6" s="44"/>
      <c r="P6" s="60"/>
      <c r="Q6" s="60"/>
      <c r="R6" s="44"/>
      <c r="S6" s="1"/>
      <c r="T6" s="1"/>
    </row>
    <row r="7" spans="1:20">
      <c r="A7" s="6" t="s">
        <v>182</v>
      </c>
      <c r="B7" s="7">
        <v>10</v>
      </c>
      <c r="C7" s="96"/>
      <c r="D7" s="96"/>
      <c r="E7" s="97"/>
      <c r="F7" s="97"/>
      <c r="G7" s="97"/>
      <c r="H7" s="96"/>
      <c r="I7" s="18"/>
      <c r="J7" s="12">
        <f>I7*B7</f>
        <v>0</v>
      </c>
      <c r="K7" s="13">
        <f>0*I7</f>
        <v>0</v>
      </c>
      <c r="L7" s="43"/>
      <c r="M7" s="28"/>
      <c r="N7" s="60"/>
      <c r="O7" s="44"/>
      <c r="P7" s="60"/>
      <c r="Q7" s="60"/>
      <c r="R7" s="44"/>
      <c r="S7" s="1"/>
      <c r="T7" s="1"/>
    </row>
    <row r="8" spans="1:20">
      <c r="A8" s="6" t="s">
        <v>183</v>
      </c>
      <c r="B8" s="7">
        <v>5</v>
      </c>
      <c r="C8" s="94"/>
      <c r="D8" s="94"/>
      <c r="E8" s="95"/>
      <c r="F8" s="95"/>
      <c r="G8" s="95"/>
      <c r="H8" s="101"/>
      <c r="I8" s="12"/>
      <c r="J8" s="12">
        <f t="shared" ref="J8:J9" si="2">I8*B8</f>
        <v>0</v>
      </c>
      <c r="K8" s="13">
        <f>0*I8</f>
        <v>0</v>
      </c>
      <c r="L8" s="43"/>
      <c r="M8" s="28"/>
      <c r="N8" s="60"/>
      <c r="O8" s="44"/>
      <c r="P8" s="60"/>
      <c r="Q8" s="60"/>
      <c r="R8" s="44"/>
      <c r="S8" s="1"/>
      <c r="T8" s="1"/>
    </row>
    <row r="9" spans="1:20">
      <c r="A9" s="6" t="s">
        <v>184</v>
      </c>
      <c r="B9" s="7">
        <v>50</v>
      </c>
      <c r="C9" s="96"/>
      <c r="D9" s="96"/>
      <c r="E9" s="97"/>
      <c r="F9" s="97"/>
      <c r="G9" s="97"/>
      <c r="H9" s="96"/>
      <c r="I9" s="12"/>
      <c r="J9" s="12">
        <f t="shared" si="2"/>
        <v>0</v>
      </c>
      <c r="K9" s="13">
        <f t="shared" si="1"/>
        <v>0</v>
      </c>
      <c r="L9" s="43"/>
      <c r="M9" s="28"/>
      <c r="N9" s="60"/>
      <c r="O9" s="44"/>
      <c r="P9" s="60"/>
      <c r="Q9" s="60"/>
      <c r="R9" s="44"/>
      <c r="S9" s="1"/>
      <c r="T9" s="1"/>
    </row>
    <row r="10" spans="1:20">
      <c r="A10" s="6" t="s">
        <v>185</v>
      </c>
      <c r="B10" s="19">
        <v>3</v>
      </c>
      <c r="C10" s="94"/>
      <c r="D10" s="94"/>
      <c r="E10" s="17"/>
      <c r="F10" s="95"/>
      <c r="G10" s="95"/>
      <c r="H10" s="101"/>
      <c r="I10" s="18"/>
      <c r="J10" s="12">
        <f>I10*B10+(1*E10)</f>
        <v>0</v>
      </c>
      <c r="K10" s="22"/>
      <c r="L10" s="43"/>
      <c r="M10" s="28"/>
      <c r="N10" s="60"/>
      <c r="O10" s="44"/>
      <c r="P10" s="60"/>
      <c r="Q10" s="60"/>
      <c r="R10" s="44"/>
      <c r="S10" s="1"/>
      <c r="T10" s="1"/>
    </row>
    <row r="11" spans="1:20">
      <c r="A11" s="6" t="s">
        <v>186</v>
      </c>
      <c r="B11" s="19">
        <v>4</v>
      </c>
      <c r="C11" s="48"/>
      <c r="D11" s="48"/>
      <c r="E11" s="99"/>
      <c r="F11" s="99"/>
      <c r="G11" s="99"/>
      <c r="H11" s="98"/>
      <c r="I11" s="18"/>
      <c r="J11" s="12">
        <f>I11*B11+(20*C11+1*D11)</f>
        <v>0</v>
      </c>
      <c r="K11" s="22"/>
      <c r="L11" s="60"/>
      <c r="M11" s="44"/>
      <c r="N11" s="60"/>
      <c r="O11" s="44"/>
      <c r="P11" s="60"/>
      <c r="Q11" s="60"/>
      <c r="R11" s="44"/>
      <c r="S11" s="1"/>
      <c r="T11" s="1"/>
    </row>
    <row r="12" spans="1:20">
      <c r="A12" s="6" t="s">
        <v>187</v>
      </c>
      <c r="B12" s="19">
        <v>4</v>
      </c>
      <c r="C12" s="94"/>
      <c r="D12" s="94"/>
      <c r="E12" s="95"/>
      <c r="F12" s="95"/>
      <c r="G12" s="95"/>
      <c r="H12" s="101"/>
      <c r="I12" s="18"/>
      <c r="J12" s="12">
        <f>I12*B12</f>
        <v>0</v>
      </c>
      <c r="K12" s="22"/>
      <c r="L12" s="43"/>
      <c r="M12" s="28"/>
      <c r="N12" s="60"/>
      <c r="O12" s="44"/>
      <c r="P12" s="60"/>
      <c r="Q12" s="60"/>
      <c r="R12" s="44"/>
      <c r="S12" s="1"/>
      <c r="T12" s="1"/>
    </row>
    <row r="13" spans="1:20">
      <c r="A13" s="3"/>
      <c r="B13" s="35"/>
      <c r="C13" s="60"/>
      <c r="D13" s="60"/>
      <c r="E13" s="44"/>
      <c r="F13" s="44"/>
      <c r="G13" s="44"/>
      <c r="H13" s="60"/>
      <c r="I13" s="1"/>
      <c r="J13" s="1"/>
      <c r="K13" s="22"/>
      <c r="L13" s="60"/>
      <c r="M13" s="44"/>
      <c r="N13" s="60"/>
      <c r="O13" s="44"/>
      <c r="P13" s="60"/>
      <c r="Q13" s="60"/>
      <c r="R13" s="44"/>
      <c r="S13" s="1"/>
      <c r="T13" s="1"/>
    </row>
    <row r="14" spans="1:20" ht="15.75" thickBot="1">
      <c r="A14" s="3"/>
      <c r="B14" s="35"/>
      <c r="C14" s="60"/>
      <c r="D14" s="60"/>
      <c r="E14" s="44"/>
      <c r="F14" s="44"/>
      <c r="G14" s="44"/>
      <c r="H14" s="60"/>
      <c r="I14" s="27" t="s">
        <v>46</v>
      </c>
      <c r="J14" s="30" t="s">
        <v>47</v>
      </c>
      <c r="K14" s="30" t="s">
        <v>47</v>
      </c>
      <c r="L14" s="60"/>
      <c r="M14" s="44"/>
      <c r="N14" s="60"/>
      <c r="O14" s="44"/>
      <c r="P14" s="60"/>
      <c r="Q14" s="60"/>
      <c r="R14" s="44"/>
      <c r="S14" s="1"/>
      <c r="T14" s="1"/>
    </row>
    <row r="15" spans="1:20" ht="15.75" thickBot="1">
      <c r="A15" s="3"/>
      <c r="B15" s="35"/>
      <c r="C15" s="60"/>
      <c r="D15" s="60"/>
      <c r="E15" s="44"/>
      <c r="F15" s="44"/>
      <c r="G15" s="44"/>
      <c r="H15" s="60"/>
      <c r="I15" s="31">
        <f>SUM(I2:I12)</f>
        <v>0</v>
      </c>
      <c r="J15" s="58">
        <f>SUM(J2:J12)</f>
        <v>0</v>
      </c>
      <c r="K15" s="59">
        <f>SUM(K2:K9)</f>
        <v>0</v>
      </c>
      <c r="L15" s="60"/>
      <c r="M15" s="44"/>
      <c r="N15" s="60"/>
      <c r="O15" s="44"/>
      <c r="P15" s="60"/>
      <c r="Q15" s="60"/>
      <c r="R15" s="44"/>
      <c r="S15" s="1"/>
      <c r="T15" s="1"/>
    </row>
    <row r="16" spans="1:20">
      <c r="A16" s="3"/>
      <c r="B16" s="35"/>
      <c r="C16" s="60"/>
      <c r="D16" s="60"/>
      <c r="E16" s="44"/>
      <c r="F16" s="44"/>
      <c r="G16" s="44"/>
      <c r="H16" s="60"/>
      <c r="J16" s="43"/>
      <c r="K16" s="13"/>
      <c r="L16" s="60"/>
      <c r="M16" s="44"/>
      <c r="N16" s="60"/>
      <c r="O16" s="44"/>
      <c r="P16" s="60"/>
      <c r="Q16" s="60"/>
      <c r="R16" s="44"/>
      <c r="S16" s="1"/>
      <c r="T16" s="1"/>
    </row>
    <row r="17" spans="1:20">
      <c r="A17" s="3"/>
      <c r="B17" s="35"/>
      <c r="C17" s="60"/>
      <c r="D17" s="60"/>
      <c r="E17" s="44"/>
      <c r="F17" s="44"/>
      <c r="G17" s="44"/>
      <c r="H17" s="60"/>
      <c r="I17" s="27" t="s">
        <v>1</v>
      </c>
      <c r="J17" s="43"/>
      <c r="K17" s="22"/>
      <c r="L17" s="60"/>
      <c r="M17" s="44"/>
      <c r="N17" s="60"/>
      <c r="O17" s="44"/>
      <c r="P17" s="60"/>
      <c r="Q17" s="60"/>
      <c r="R17" s="44"/>
      <c r="S17" s="1"/>
      <c r="T17" s="1"/>
    </row>
    <row r="18" spans="1:20">
      <c r="A18" s="3"/>
      <c r="B18" s="35"/>
      <c r="C18" s="60"/>
      <c r="D18" s="60"/>
      <c r="E18" s="44"/>
      <c r="F18" s="44"/>
      <c r="G18" s="44"/>
      <c r="H18" s="60"/>
      <c r="I18" s="37">
        <f>ROUNDUP(I15/3,0)</f>
        <v>0</v>
      </c>
      <c r="J18" s="60"/>
      <c r="K18" s="60"/>
      <c r="L18" s="60"/>
      <c r="M18" s="44"/>
      <c r="N18" s="60"/>
      <c r="O18" s="44"/>
      <c r="P18" s="60"/>
      <c r="Q18" s="60"/>
      <c r="R18" s="44"/>
      <c r="S18" s="1"/>
      <c r="T18" s="35"/>
    </row>
    <row r="19" spans="1:20">
      <c r="A19" s="3"/>
      <c r="B19" s="35"/>
      <c r="C19" s="43"/>
      <c r="D19" s="43"/>
      <c r="E19" s="28"/>
      <c r="F19" s="28"/>
      <c r="G19" s="28"/>
      <c r="H19" s="43"/>
      <c r="I19" s="1"/>
      <c r="J19" s="1"/>
      <c r="K19" s="60"/>
      <c r="L19" s="43"/>
      <c r="M19" s="28"/>
      <c r="N19" s="1"/>
      <c r="O19" s="1"/>
      <c r="P19" s="44"/>
      <c r="Q19" s="1"/>
      <c r="R19" s="1"/>
      <c r="S19" s="1"/>
      <c r="T19" s="1"/>
    </row>
    <row r="20" spans="1:20">
      <c r="A20" s="3"/>
      <c r="B20" s="35"/>
      <c r="C20" s="43"/>
      <c r="D20" s="43"/>
      <c r="E20" s="28"/>
      <c r="F20" s="28"/>
      <c r="G20" s="28"/>
      <c r="H20" s="72"/>
      <c r="I20" s="1"/>
      <c r="J20" s="1"/>
      <c r="K20" s="60"/>
      <c r="L20" s="43"/>
      <c r="M20" s="28"/>
      <c r="N20" s="1"/>
      <c r="O20" s="1"/>
      <c r="P20" s="43"/>
      <c r="Q20" s="43"/>
      <c r="R20" s="1"/>
      <c r="S20" s="1"/>
      <c r="T20" s="1"/>
    </row>
    <row r="21" spans="1:20">
      <c r="A21" s="3"/>
      <c r="B21" s="35"/>
      <c r="C21" s="43"/>
      <c r="D21" s="43"/>
      <c r="E21" s="28"/>
      <c r="F21" s="28"/>
      <c r="G21" s="28"/>
      <c r="H21" s="43"/>
      <c r="I21" s="1"/>
      <c r="J21" s="1"/>
      <c r="K21" s="60"/>
      <c r="L21" s="43"/>
      <c r="M21" s="28"/>
      <c r="N21" s="1"/>
      <c r="O21" s="1"/>
      <c r="P21" s="43"/>
      <c r="Q21" s="43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02"/>
      <c r="T22" s="102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02"/>
      <c r="T23" s="102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02"/>
      <c r="T24" s="102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02"/>
      <c r="T25" s="102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</row>
  </sheetData>
  <hyperlinks>
    <hyperlink ref="A1" location="'Fuerzas de la Luz'!A1" display="Los Pueblos Libres: La Comarca"/>
  </hyperlinks>
  <pageMargins left="0.7" right="0.7" top="0.75" bottom="0.75" header="0.3" footer="0.3"/>
  <ignoredErrors>
    <ignoredError sqref="K3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dimension ref="A1:X34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11" width="3.28515625" customWidth="1"/>
    <col min="12" max="14" width="9.7109375" customWidth="1"/>
  </cols>
  <sheetData>
    <row r="1" spans="1:24" ht="170.1" customHeight="1">
      <c r="A1" s="175" t="s">
        <v>188</v>
      </c>
      <c r="B1" s="4" t="s">
        <v>3</v>
      </c>
      <c r="C1" s="5" t="s">
        <v>17</v>
      </c>
      <c r="D1" s="5" t="s">
        <v>11</v>
      </c>
      <c r="E1" s="83" t="s">
        <v>189</v>
      </c>
      <c r="F1" s="5" t="s">
        <v>190</v>
      </c>
      <c r="G1" s="5" t="s">
        <v>191</v>
      </c>
      <c r="H1" s="5" t="s">
        <v>192</v>
      </c>
      <c r="I1" s="5" t="s">
        <v>193</v>
      </c>
      <c r="J1" s="5" t="s">
        <v>194</v>
      </c>
      <c r="K1" s="5" t="s">
        <v>5</v>
      </c>
      <c r="L1" s="5" t="s">
        <v>24</v>
      </c>
      <c r="M1" s="5" t="s">
        <v>0</v>
      </c>
      <c r="N1" s="5" t="s">
        <v>25</v>
      </c>
      <c r="O1" s="52"/>
      <c r="P1" s="52"/>
      <c r="Q1" s="52"/>
      <c r="R1" s="52"/>
      <c r="S1" s="1"/>
      <c r="T1" s="1"/>
      <c r="U1" s="1"/>
      <c r="V1" s="1"/>
      <c r="W1" s="1"/>
      <c r="X1" s="1"/>
    </row>
    <row r="2" spans="1:24">
      <c r="A2" s="6" t="s">
        <v>195</v>
      </c>
      <c r="B2" s="7">
        <v>170</v>
      </c>
      <c r="C2" s="103"/>
      <c r="D2" s="14"/>
      <c r="E2" s="104"/>
      <c r="F2" s="105"/>
      <c r="G2" s="106"/>
      <c r="H2" s="107"/>
      <c r="I2" s="107"/>
      <c r="J2" s="107"/>
      <c r="K2" s="103"/>
      <c r="L2" s="7"/>
      <c r="M2" s="12">
        <f>L2*B2+(10*D2+25*E2+15*F2)</f>
        <v>0</v>
      </c>
      <c r="N2" s="13">
        <f>3*L2</f>
        <v>0</v>
      </c>
      <c r="O2" s="108"/>
      <c r="P2" s="60"/>
      <c r="Q2" s="60"/>
      <c r="R2" s="108"/>
      <c r="S2" s="1"/>
      <c r="T2" s="1"/>
      <c r="U2" s="1"/>
      <c r="V2" s="1"/>
      <c r="W2" s="1"/>
      <c r="X2" s="1"/>
    </row>
    <row r="3" spans="1:24">
      <c r="A3" s="6" t="s">
        <v>196</v>
      </c>
      <c r="B3" s="7">
        <v>220</v>
      </c>
      <c r="C3" s="14"/>
      <c r="D3" s="109"/>
      <c r="E3" s="110"/>
      <c r="F3" s="17"/>
      <c r="G3" s="110"/>
      <c r="H3" s="109"/>
      <c r="I3" s="109"/>
      <c r="J3" s="109"/>
      <c r="K3" s="109"/>
      <c r="L3" s="7"/>
      <c r="M3" s="12">
        <f>L3*B3+(10*C3+15*F3)</f>
        <v>0</v>
      </c>
      <c r="N3" s="13">
        <f t="shared" ref="N3:N4" si="0">3*L3</f>
        <v>0</v>
      </c>
      <c r="O3" s="44"/>
      <c r="P3" s="60"/>
      <c r="Q3" s="60"/>
      <c r="R3" s="44"/>
      <c r="S3" s="1"/>
      <c r="T3" s="1"/>
      <c r="U3" s="1"/>
      <c r="V3" s="1"/>
      <c r="W3" s="1"/>
      <c r="X3" s="1"/>
    </row>
    <row r="4" spans="1:24">
      <c r="A4" s="6" t="s">
        <v>197</v>
      </c>
      <c r="B4" s="7">
        <v>175</v>
      </c>
      <c r="C4" s="14"/>
      <c r="D4" s="14"/>
      <c r="E4" s="106"/>
      <c r="F4" s="106"/>
      <c r="G4" s="105"/>
      <c r="H4" s="107"/>
      <c r="I4" s="107"/>
      <c r="J4" s="48"/>
      <c r="K4" s="21"/>
      <c r="L4" s="12"/>
      <c r="M4" s="12">
        <f>L4*B4+(10*C4+10*D4+75*G4+5*J4+5*K4)</f>
        <v>0</v>
      </c>
      <c r="N4" s="13">
        <f t="shared" si="0"/>
        <v>0</v>
      </c>
      <c r="O4" s="108"/>
      <c r="P4" s="60"/>
      <c r="Q4" s="60"/>
      <c r="R4" s="108"/>
      <c r="S4" s="1"/>
      <c r="T4" s="1"/>
      <c r="U4" s="1"/>
      <c r="V4" s="1"/>
      <c r="W4" s="1"/>
      <c r="X4" s="1"/>
    </row>
    <row r="5" spans="1:24">
      <c r="A5" s="6" t="s">
        <v>198</v>
      </c>
      <c r="B5" s="7">
        <v>105</v>
      </c>
      <c r="C5" s="111"/>
      <c r="D5" s="48"/>
      <c r="E5" s="49"/>
      <c r="F5" s="49"/>
      <c r="G5" s="49"/>
      <c r="H5" s="50"/>
      <c r="I5" s="50"/>
      <c r="J5" s="50"/>
      <c r="K5" s="50"/>
      <c r="L5" s="12"/>
      <c r="M5" s="12">
        <f>L5*B5+(10*C5+10*D5)</f>
        <v>0</v>
      </c>
      <c r="N5" s="13">
        <f>6*L5</f>
        <v>0</v>
      </c>
      <c r="O5" s="44"/>
      <c r="P5" s="60"/>
      <c r="Q5" s="60"/>
      <c r="R5" s="44"/>
      <c r="S5" s="1"/>
      <c r="T5" s="1"/>
      <c r="U5" s="1"/>
      <c r="V5" s="1"/>
      <c r="W5" s="1"/>
      <c r="X5" s="1"/>
    </row>
    <row r="6" spans="1:24">
      <c r="A6" s="6" t="s">
        <v>136</v>
      </c>
      <c r="B6" s="7">
        <v>90</v>
      </c>
      <c r="C6" s="14"/>
      <c r="D6" s="14"/>
      <c r="E6" s="106"/>
      <c r="F6" s="106"/>
      <c r="G6" s="106"/>
      <c r="H6" s="107"/>
      <c r="I6" s="107"/>
      <c r="J6" s="21"/>
      <c r="K6" s="103"/>
      <c r="L6" s="12"/>
      <c r="M6" s="12">
        <f>L6*B6+(10*C6+10*D6+5*J6)</f>
        <v>0</v>
      </c>
      <c r="N6" s="13">
        <f>3*L6</f>
        <v>0</v>
      </c>
      <c r="O6" s="108"/>
      <c r="P6" s="60"/>
      <c r="Q6" s="60"/>
      <c r="R6" s="108"/>
      <c r="S6" s="1"/>
      <c r="T6" s="1"/>
      <c r="U6" s="1"/>
      <c r="V6" s="1"/>
      <c r="W6" s="1"/>
      <c r="X6" s="1"/>
    </row>
    <row r="7" spans="1:24">
      <c r="A7" s="6" t="s">
        <v>199</v>
      </c>
      <c r="B7" s="7">
        <v>60</v>
      </c>
      <c r="C7" s="14"/>
      <c r="D7" s="109"/>
      <c r="E7" s="110"/>
      <c r="F7" s="110"/>
      <c r="G7" s="110"/>
      <c r="H7" s="14"/>
      <c r="I7" s="14"/>
      <c r="J7" s="109"/>
      <c r="K7" s="109"/>
      <c r="L7" s="18"/>
      <c r="M7" s="12">
        <f>L7*B7+(10*C7+25*H7+15*I7)</f>
        <v>0</v>
      </c>
      <c r="N7" s="13">
        <f>2*L7</f>
        <v>0</v>
      </c>
      <c r="O7" s="44"/>
      <c r="P7" s="60"/>
      <c r="Q7" s="60"/>
      <c r="R7" s="44"/>
      <c r="S7" s="1"/>
      <c r="T7" s="1"/>
      <c r="U7" s="1"/>
      <c r="V7" s="1"/>
      <c r="W7" s="1"/>
      <c r="X7" s="1"/>
    </row>
    <row r="8" spans="1:24">
      <c r="A8" s="6" t="s">
        <v>200</v>
      </c>
      <c r="B8" s="7">
        <v>90</v>
      </c>
      <c r="C8" s="14"/>
      <c r="D8" s="103"/>
      <c r="E8" s="106"/>
      <c r="F8" s="106"/>
      <c r="G8" s="106"/>
      <c r="H8" s="107"/>
      <c r="I8" s="107"/>
      <c r="J8" s="107"/>
      <c r="K8" s="103"/>
      <c r="L8" s="12"/>
      <c r="M8" s="12">
        <f>L8*B8+(10*C8)</f>
        <v>0</v>
      </c>
      <c r="N8" s="13">
        <f>3*L8</f>
        <v>0</v>
      </c>
      <c r="O8" s="108"/>
      <c r="P8" s="60"/>
      <c r="Q8" s="60"/>
      <c r="R8" s="108"/>
      <c r="S8" s="1"/>
      <c r="T8" s="1"/>
      <c r="U8" s="1"/>
      <c r="V8" s="1"/>
      <c r="W8" s="1"/>
      <c r="X8" s="1"/>
    </row>
    <row r="9" spans="1:24">
      <c r="A9" s="6" t="s">
        <v>201</v>
      </c>
      <c r="B9" s="7">
        <v>30</v>
      </c>
      <c r="C9" s="14"/>
      <c r="D9" s="109"/>
      <c r="E9" s="110"/>
      <c r="F9" s="110"/>
      <c r="G9" s="110"/>
      <c r="H9" s="109"/>
      <c r="I9" s="109"/>
      <c r="J9" s="109"/>
      <c r="K9" s="109"/>
      <c r="L9" s="12"/>
      <c r="M9" s="12">
        <f t="shared" ref="M9:M11" si="1">L9*B9+(10*C9)</f>
        <v>0</v>
      </c>
      <c r="N9" s="13">
        <f>1*L9</f>
        <v>0</v>
      </c>
      <c r="O9" s="44"/>
      <c r="P9" s="60"/>
      <c r="Q9" s="60"/>
      <c r="R9" s="44"/>
      <c r="S9" s="1"/>
      <c r="T9" s="1"/>
      <c r="U9" s="1"/>
      <c r="V9" s="1"/>
      <c r="W9" s="1"/>
      <c r="X9" s="1"/>
    </row>
    <row r="10" spans="1:24">
      <c r="A10" s="6" t="s">
        <v>202</v>
      </c>
      <c r="B10" s="19">
        <v>10</v>
      </c>
      <c r="C10" s="14"/>
      <c r="D10" s="103"/>
      <c r="E10" s="106"/>
      <c r="F10" s="106"/>
      <c r="G10" s="106"/>
      <c r="H10" s="107"/>
      <c r="I10" s="107"/>
      <c r="J10" s="107"/>
      <c r="K10" s="103"/>
      <c r="L10" s="18"/>
      <c r="M10" s="12">
        <f t="shared" si="1"/>
        <v>0</v>
      </c>
      <c r="N10" s="13">
        <f>0*L10</f>
        <v>0</v>
      </c>
      <c r="O10" s="108"/>
      <c r="P10" s="60"/>
      <c r="Q10" s="60"/>
      <c r="R10" s="108"/>
      <c r="S10" s="1"/>
      <c r="T10" s="1"/>
      <c r="U10" s="1"/>
      <c r="V10" s="1"/>
      <c r="W10" s="1"/>
      <c r="X10" s="1"/>
    </row>
    <row r="11" spans="1:24">
      <c r="A11" s="6" t="s">
        <v>203</v>
      </c>
      <c r="B11" s="19">
        <v>10</v>
      </c>
      <c r="C11" s="14"/>
      <c r="D11" s="109"/>
      <c r="E11" s="110"/>
      <c r="F11" s="110"/>
      <c r="G11" s="110"/>
      <c r="H11" s="109"/>
      <c r="I11" s="109"/>
      <c r="J11" s="109"/>
      <c r="K11" s="109"/>
      <c r="L11" s="18"/>
      <c r="M11" s="12">
        <f t="shared" si="1"/>
        <v>0</v>
      </c>
      <c r="N11" s="13">
        <f>0*L11</f>
        <v>0</v>
      </c>
      <c r="O11" s="44"/>
      <c r="P11" s="60"/>
      <c r="Q11" s="60"/>
      <c r="R11" s="44"/>
      <c r="S11" s="1"/>
      <c r="T11" s="1"/>
      <c r="U11" s="1"/>
      <c r="V11" s="1"/>
      <c r="W11" s="1"/>
      <c r="X11" s="1"/>
    </row>
    <row r="12" spans="1:24">
      <c r="A12" s="6" t="s">
        <v>204</v>
      </c>
      <c r="B12" s="19">
        <v>30</v>
      </c>
      <c r="C12" s="103"/>
      <c r="D12" s="103"/>
      <c r="E12" s="106"/>
      <c r="F12" s="106"/>
      <c r="G12" s="106"/>
      <c r="H12" s="107"/>
      <c r="I12" s="107"/>
      <c r="J12" s="112"/>
      <c r="K12" s="107"/>
      <c r="L12" s="18"/>
      <c r="M12" s="12">
        <f>L12*B12</f>
        <v>0</v>
      </c>
      <c r="N12" s="13">
        <f>0*L12</f>
        <v>0</v>
      </c>
      <c r="O12" s="108"/>
      <c r="P12" s="60"/>
      <c r="Q12" s="60"/>
      <c r="R12" s="108"/>
      <c r="S12" s="1"/>
      <c r="T12" s="1"/>
      <c r="U12" s="1"/>
      <c r="V12" s="1"/>
      <c r="W12" s="1"/>
      <c r="X12" s="1"/>
    </row>
    <row r="13" spans="1:24">
      <c r="A13" s="6" t="s">
        <v>205</v>
      </c>
      <c r="B13" s="7">
        <v>35</v>
      </c>
      <c r="C13" s="50"/>
      <c r="D13" s="50"/>
      <c r="E13" s="49"/>
      <c r="F13" s="49"/>
      <c r="G13" s="49"/>
      <c r="H13" s="50"/>
      <c r="I13" s="50"/>
      <c r="J13" s="50"/>
      <c r="K13" s="50"/>
      <c r="L13" s="12"/>
      <c r="M13" s="12">
        <f>L13*B13</f>
        <v>0</v>
      </c>
      <c r="N13" s="13">
        <f>1*L13</f>
        <v>0</v>
      </c>
      <c r="O13" s="44"/>
      <c r="P13" s="60"/>
      <c r="Q13" s="60"/>
      <c r="R13" s="44"/>
      <c r="S13" s="1"/>
      <c r="T13" s="1"/>
      <c r="U13" s="1"/>
      <c r="V13" s="1"/>
      <c r="W13" s="1"/>
      <c r="X13" s="1"/>
    </row>
    <row r="14" spans="1:24">
      <c r="A14" s="3"/>
      <c r="B14" s="35"/>
      <c r="C14" s="60"/>
      <c r="D14" s="60"/>
      <c r="E14" s="44"/>
      <c r="F14" s="44"/>
      <c r="G14" s="44"/>
      <c r="H14" s="60"/>
      <c r="I14" s="60"/>
      <c r="J14" s="60"/>
      <c r="K14" s="60"/>
      <c r="L14" s="1"/>
      <c r="M14" s="1"/>
      <c r="N14" s="22"/>
      <c r="O14" s="44"/>
      <c r="P14" s="60"/>
      <c r="Q14" s="60"/>
      <c r="R14" s="44"/>
      <c r="S14" s="1"/>
      <c r="T14" s="1"/>
      <c r="U14" s="1"/>
      <c r="V14" s="1"/>
      <c r="W14" s="1"/>
      <c r="X14" s="1"/>
    </row>
    <row r="15" spans="1:24" ht="15.75" thickBot="1">
      <c r="A15" s="3"/>
      <c r="B15" s="35"/>
      <c r="C15" s="60"/>
      <c r="D15" s="60"/>
      <c r="E15" s="44"/>
      <c r="F15" s="44"/>
      <c r="G15" s="44"/>
      <c r="H15" s="60"/>
      <c r="I15" s="60"/>
      <c r="J15" s="60"/>
      <c r="K15" s="60"/>
      <c r="L15" s="27" t="s">
        <v>46</v>
      </c>
      <c r="M15" s="30" t="s">
        <v>47</v>
      </c>
      <c r="N15" s="30" t="s">
        <v>47</v>
      </c>
      <c r="O15" s="44"/>
      <c r="P15" s="60"/>
      <c r="Q15" s="60"/>
      <c r="R15" s="44"/>
      <c r="S15" s="1"/>
      <c r="T15" s="1"/>
      <c r="U15" s="1"/>
      <c r="V15" s="1"/>
      <c r="W15" s="1"/>
      <c r="X15" s="1"/>
    </row>
    <row r="16" spans="1:24" ht="15.75" thickBot="1">
      <c r="A16" s="3"/>
      <c r="B16" s="35"/>
      <c r="C16" s="60"/>
      <c r="D16" s="60"/>
      <c r="E16" s="44"/>
      <c r="F16" s="44"/>
      <c r="G16" s="44"/>
      <c r="H16" s="60"/>
      <c r="I16" s="60"/>
      <c r="J16" s="60"/>
      <c r="K16" s="60"/>
      <c r="L16" s="31">
        <f>SUM(L2:L13)</f>
        <v>0</v>
      </c>
      <c r="M16" s="58">
        <f>SUM(M2:M13)</f>
        <v>0</v>
      </c>
      <c r="N16" s="59">
        <f>SUM(N2:N13)</f>
        <v>0</v>
      </c>
      <c r="O16" s="44"/>
      <c r="P16" s="60"/>
      <c r="Q16" s="60"/>
      <c r="R16" s="44"/>
      <c r="S16" s="1"/>
      <c r="T16" s="1"/>
      <c r="U16" s="1"/>
      <c r="V16" s="1"/>
      <c r="W16" s="1"/>
      <c r="X16" s="1"/>
    </row>
    <row r="17" spans="1:24">
      <c r="A17" s="3"/>
      <c r="B17" s="35"/>
      <c r="C17" s="60"/>
      <c r="D17" s="60"/>
      <c r="E17" s="44"/>
      <c r="F17" s="44"/>
      <c r="G17" s="44"/>
      <c r="H17" s="60"/>
      <c r="I17" s="60"/>
      <c r="J17" s="60"/>
      <c r="K17" s="60"/>
      <c r="M17" s="43"/>
      <c r="N17" s="13"/>
      <c r="O17" s="44"/>
      <c r="P17" s="60"/>
      <c r="Q17" s="60"/>
      <c r="R17" s="44"/>
      <c r="S17" s="1"/>
      <c r="T17" s="1"/>
      <c r="U17" s="1"/>
      <c r="V17" s="1"/>
      <c r="W17" s="1"/>
      <c r="X17" s="1"/>
    </row>
    <row r="18" spans="1:24">
      <c r="A18" s="3"/>
      <c r="B18" s="35"/>
      <c r="C18" s="60"/>
      <c r="D18" s="60"/>
      <c r="E18" s="44"/>
      <c r="F18" s="44"/>
      <c r="G18" s="44"/>
      <c r="H18" s="60"/>
      <c r="I18" s="60"/>
      <c r="J18" s="60"/>
      <c r="K18" s="60"/>
      <c r="L18" s="27" t="s">
        <v>1</v>
      </c>
      <c r="M18" s="43"/>
      <c r="N18" s="22"/>
      <c r="O18" s="44"/>
      <c r="P18" s="60"/>
      <c r="Q18" s="60"/>
      <c r="R18" s="44"/>
      <c r="S18" s="1"/>
      <c r="T18" s="1"/>
      <c r="U18" s="1"/>
      <c r="V18" s="1"/>
      <c r="W18" s="1"/>
      <c r="X18" s="1"/>
    </row>
    <row r="19" spans="1:24">
      <c r="A19" s="3"/>
      <c r="B19" s="35"/>
      <c r="C19" s="43"/>
      <c r="D19" s="43"/>
      <c r="E19" s="28"/>
      <c r="F19" s="28"/>
      <c r="G19" s="28"/>
      <c r="H19" s="43"/>
      <c r="I19" s="1"/>
      <c r="J19" s="1"/>
      <c r="K19" s="43"/>
      <c r="L19" s="37">
        <f>ROUNDUP(L16/3,0)</f>
        <v>0</v>
      </c>
      <c r="M19" s="28"/>
      <c r="N19" s="22"/>
      <c r="O19" s="1"/>
      <c r="P19" s="44"/>
      <c r="Q19" s="1"/>
      <c r="R19" s="1"/>
      <c r="S19" s="1"/>
      <c r="T19" s="1"/>
      <c r="U19" s="1"/>
      <c r="V19" s="1"/>
      <c r="W19" s="1"/>
      <c r="X19" s="1"/>
    </row>
    <row r="20" spans="1:24">
      <c r="A20" s="3"/>
      <c r="B20" s="35"/>
      <c r="C20" s="43"/>
      <c r="D20" s="43"/>
      <c r="E20" s="28"/>
      <c r="F20" s="28"/>
      <c r="G20" s="28"/>
      <c r="H20" s="72"/>
      <c r="I20" s="1"/>
      <c r="J20" s="1"/>
      <c r="K20" s="43"/>
      <c r="L20" s="43"/>
      <c r="M20" s="28"/>
      <c r="N20" s="22"/>
      <c r="O20" s="1"/>
      <c r="P20" s="43"/>
      <c r="Q20" s="43"/>
      <c r="R20" s="1"/>
      <c r="S20" s="1"/>
      <c r="T20" s="1"/>
      <c r="U20" s="1"/>
      <c r="V20" s="1"/>
      <c r="W20" s="1"/>
      <c r="X20" s="1"/>
    </row>
    <row r="21" spans="1:24">
      <c r="A21" s="3"/>
      <c r="B21" s="35"/>
      <c r="C21" s="43"/>
      <c r="D21" s="43"/>
      <c r="E21" s="28"/>
      <c r="F21" s="28"/>
      <c r="G21" s="28"/>
      <c r="H21" s="43"/>
      <c r="I21" s="1"/>
      <c r="J21" s="1"/>
      <c r="K21" s="43"/>
      <c r="L21" s="43"/>
      <c r="M21" s="28"/>
      <c r="N21" s="22"/>
      <c r="O21" s="1"/>
      <c r="P21" s="43"/>
      <c r="Q21" s="43"/>
      <c r="R21" s="1"/>
      <c r="S21" s="1"/>
      <c r="T21" s="1"/>
      <c r="U21" s="1"/>
      <c r="V21" s="1"/>
      <c r="W21" s="1"/>
      <c r="X21" s="1"/>
    </row>
    <row r="22" spans="1:2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2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2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2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2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2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22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2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2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2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2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2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2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22"/>
      <c r="O34" s="1"/>
      <c r="P34" s="1"/>
      <c r="Q34" s="1"/>
      <c r="R34" s="1"/>
      <c r="S34" s="1"/>
      <c r="T34" s="1"/>
      <c r="U34" s="1"/>
      <c r="V34" s="1"/>
      <c r="W34" s="1"/>
      <c r="X34" s="1"/>
    </row>
  </sheetData>
  <hyperlinks>
    <hyperlink ref="A1" location="'Fuerzas de la Luz'!A1" display="Los Pueblos Libres: La Comunidad del Anillo"/>
  </hyperlinks>
  <pageMargins left="0.7" right="0.7" top="0.75" bottom="0.75" header="0.3" footer="0.3"/>
  <ignoredErrors>
    <ignoredError sqref="N5 N7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dimension ref="A1:P33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3" width="3.28515625" customWidth="1"/>
    <col min="4" max="6" width="9.7109375" customWidth="1"/>
  </cols>
  <sheetData>
    <row r="1" spans="1:16" ht="170.1" customHeight="1">
      <c r="A1" s="175" t="s">
        <v>206</v>
      </c>
      <c r="B1" s="4" t="s">
        <v>3</v>
      </c>
      <c r="C1" s="5" t="s">
        <v>207</v>
      </c>
      <c r="D1" s="5" t="s">
        <v>24</v>
      </c>
      <c r="E1" s="5" t="s">
        <v>0</v>
      </c>
      <c r="F1" s="5" t="s">
        <v>25</v>
      </c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>
      <c r="A2" s="6" t="s">
        <v>208</v>
      </c>
      <c r="B2" s="7">
        <v>160</v>
      </c>
      <c r="C2" s="113"/>
      <c r="D2" s="7"/>
      <c r="E2" s="12">
        <f>D2*B2</f>
        <v>0</v>
      </c>
      <c r="F2" s="13">
        <f>0*D2</f>
        <v>0</v>
      </c>
      <c r="G2" s="28"/>
      <c r="H2" s="72"/>
      <c r="I2" s="72"/>
      <c r="J2" s="72"/>
      <c r="K2" s="43"/>
      <c r="L2" s="43"/>
      <c r="M2" s="28"/>
      <c r="N2" s="60"/>
      <c r="O2" s="44"/>
      <c r="P2" s="60"/>
    </row>
    <row r="3" spans="1:16">
      <c r="A3" s="6" t="s">
        <v>209</v>
      </c>
      <c r="B3" s="7">
        <v>140</v>
      </c>
      <c r="C3" s="114"/>
      <c r="D3" s="7"/>
      <c r="E3" s="12">
        <f t="shared" ref="E3:E11" si="0">D3*B3</f>
        <v>0</v>
      </c>
      <c r="F3" s="13">
        <f>0*D3</f>
        <v>0</v>
      </c>
      <c r="G3" s="28"/>
      <c r="H3" s="43"/>
      <c r="I3" s="43"/>
      <c r="J3" s="43"/>
      <c r="K3" s="43"/>
      <c r="L3" s="43"/>
      <c r="M3" s="28"/>
      <c r="N3" s="60"/>
      <c r="O3" s="44"/>
      <c r="P3" s="60"/>
    </row>
    <row r="4" spans="1:16">
      <c r="A4" s="6" t="s">
        <v>210</v>
      </c>
      <c r="B4" s="7">
        <v>190</v>
      </c>
      <c r="C4" s="113"/>
      <c r="D4" s="12"/>
      <c r="E4" s="12">
        <f t="shared" si="0"/>
        <v>0</v>
      </c>
      <c r="F4" s="13">
        <f>3*D4</f>
        <v>0</v>
      </c>
      <c r="G4" s="28"/>
      <c r="H4" s="72"/>
      <c r="I4" s="72"/>
      <c r="J4" s="60"/>
      <c r="K4" s="72"/>
      <c r="L4" s="43"/>
      <c r="M4" s="28"/>
      <c r="N4" s="60"/>
      <c r="O4" s="44"/>
      <c r="P4" s="60"/>
    </row>
    <row r="5" spans="1:16">
      <c r="A5" s="6" t="s">
        <v>211</v>
      </c>
      <c r="B5" s="7">
        <v>125</v>
      </c>
      <c r="C5" s="115"/>
      <c r="D5" s="12"/>
      <c r="E5" s="12">
        <f t="shared" si="0"/>
        <v>0</v>
      </c>
      <c r="F5" s="13">
        <f>1*D5</f>
        <v>0</v>
      </c>
      <c r="G5" s="44"/>
      <c r="H5" s="60"/>
      <c r="I5" s="60"/>
      <c r="J5" s="60"/>
      <c r="K5" s="60"/>
      <c r="L5" s="60"/>
      <c r="M5" s="44"/>
      <c r="N5" s="60"/>
      <c r="O5" s="44"/>
      <c r="P5" s="60"/>
    </row>
    <row r="6" spans="1:16">
      <c r="A6" s="6" t="s">
        <v>212</v>
      </c>
      <c r="B6" s="7">
        <v>45</v>
      </c>
      <c r="C6" s="113"/>
      <c r="D6" s="12"/>
      <c r="E6" s="12">
        <f t="shared" si="0"/>
        <v>0</v>
      </c>
      <c r="F6" s="13">
        <f>3*D6</f>
        <v>0</v>
      </c>
      <c r="G6" s="28"/>
      <c r="H6" s="72"/>
      <c r="I6" s="72"/>
      <c r="J6" s="72"/>
      <c r="K6" s="43"/>
      <c r="L6" s="43"/>
      <c r="M6" s="28"/>
      <c r="N6" s="60"/>
      <c r="O6" s="44"/>
      <c r="P6" s="60"/>
    </row>
    <row r="7" spans="1:16">
      <c r="A7" s="6" t="s">
        <v>213</v>
      </c>
      <c r="B7" s="7">
        <v>90</v>
      </c>
      <c r="C7" s="14"/>
      <c r="D7" s="18"/>
      <c r="E7" s="12">
        <f>D7*B7+(0*C7)</f>
        <v>0</v>
      </c>
      <c r="F7" s="13">
        <f>1*D7</f>
        <v>0</v>
      </c>
      <c r="G7" s="28"/>
      <c r="H7" s="43"/>
      <c r="I7" s="43"/>
      <c r="J7" s="43"/>
      <c r="K7" s="43"/>
      <c r="L7" s="43"/>
      <c r="M7" s="28"/>
      <c r="N7" s="60"/>
      <c r="O7" s="44"/>
      <c r="P7" s="60"/>
    </row>
    <row r="8" spans="1:16">
      <c r="A8" s="6" t="s">
        <v>214</v>
      </c>
      <c r="B8" s="7">
        <v>40</v>
      </c>
      <c r="C8" s="113"/>
      <c r="D8" s="12"/>
      <c r="E8" s="12">
        <f t="shared" si="0"/>
        <v>0</v>
      </c>
      <c r="F8" s="13">
        <f>2*D8</f>
        <v>0</v>
      </c>
      <c r="G8" s="28"/>
      <c r="H8" s="72"/>
      <c r="I8" s="72"/>
      <c r="J8" s="72"/>
      <c r="K8" s="43"/>
      <c r="L8" s="43"/>
      <c r="M8" s="28"/>
      <c r="N8" s="60"/>
      <c r="O8" s="44"/>
      <c r="P8" s="60"/>
    </row>
    <row r="9" spans="1:16">
      <c r="A9" s="6" t="s">
        <v>215</v>
      </c>
      <c r="B9" s="7">
        <v>90</v>
      </c>
      <c r="C9" s="114"/>
      <c r="D9" s="12"/>
      <c r="E9" s="12">
        <f t="shared" si="0"/>
        <v>0</v>
      </c>
      <c r="F9" s="22"/>
      <c r="G9" s="28"/>
      <c r="H9" s="43"/>
      <c r="I9" s="43"/>
      <c r="J9" s="43"/>
      <c r="K9" s="43"/>
      <c r="L9" s="43"/>
      <c r="M9" s="28"/>
      <c r="N9" s="60"/>
      <c r="O9" s="44"/>
      <c r="P9" s="60"/>
    </row>
    <row r="10" spans="1:16">
      <c r="A10" s="6" t="s">
        <v>216</v>
      </c>
      <c r="B10" s="19">
        <v>120</v>
      </c>
      <c r="C10" s="113"/>
      <c r="D10" s="18"/>
      <c r="E10" s="12">
        <f t="shared" si="0"/>
        <v>0</v>
      </c>
      <c r="F10" s="22"/>
      <c r="G10" s="28"/>
      <c r="H10" s="72"/>
      <c r="I10" s="72"/>
      <c r="J10" s="60"/>
      <c r="K10" s="72"/>
      <c r="L10" s="43"/>
      <c r="M10" s="28"/>
      <c r="N10" s="60"/>
      <c r="O10" s="44"/>
      <c r="P10" s="60"/>
    </row>
    <row r="11" spans="1:16">
      <c r="A11" s="6" t="s">
        <v>217</v>
      </c>
      <c r="B11" s="19">
        <v>7</v>
      </c>
      <c r="C11" s="115"/>
      <c r="D11" s="18"/>
      <c r="E11" s="12">
        <f t="shared" si="0"/>
        <v>0</v>
      </c>
      <c r="F11" s="22"/>
      <c r="G11" s="44"/>
      <c r="H11" s="60"/>
      <c r="I11" s="60"/>
      <c r="J11" s="60"/>
      <c r="K11" s="60"/>
      <c r="L11" s="60"/>
      <c r="M11" s="44"/>
      <c r="N11" s="60"/>
      <c r="O11" s="44"/>
      <c r="P11" s="60"/>
    </row>
    <row r="12" spans="1:16">
      <c r="A12" s="3"/>
      <c r="B12" s="35"/>
      <c r="C12" s="60"/>
      <c r="D12" s="1"/>
      <c r="E12" s="1"/>
      <c r="F12" s="22"/>
      <c r="G12" s="44"/>
      <c r="H12" s="60"/>
      <c r="I12" s="60"/>
      <c r="J12" s="60"/>
      <c r="K12" s="60"/>
      <c r="L12" s="60"/>
      <c r="M12" s="44"/>
      <c r="N12" s="60"/>
      <c r="O12" s="44"/>
      <c r="P12" s="60"/>
    </row>
    <row r="13" spans="1:16" ht="15.75" thickBot="1">
      <c r="A13" s="3"/>
      <c r="B13" s="35"/>
      <c r="C13" s="60"/>
      <c r="D13" s="27" t="s">
        <v>46</v>
      </c>
      <c r="E13" s="30" t="s">
        <v>47</v>
      </c>
      <c r="F13" s="30" t="s">
        <v>47</v>
      </c>
      <c r="G13" s="44"/>
      <c r="H13" s="60"/>
      <c r="I13" s="60"/>
      <c r="J13" s="60"/>
      <c r="K13" s="60"/>
      <c r="L13" s="60"/>
      <c r="M13" s="44"/>
      <c r="N13" s="60"/>
      <c r="O13" s="44"/>
      <c r="P13" s="60"/>
    </row>
    <row r="14" spans="1:16" ht="15.75" thickBot="1">
      <c r="A14" s="3"/>
      <c r="B14" s="35"/>
      <c r="C14" s="60"/>
      <c r="D14" s="31">
        <f>SUM(D2:D11)</f>
        <v>0</v>
      </c>
      <c r="E14" s="58">
        <f>SUM(E2:E11)</f>
        <v>0</v>
      </c>
      <c r="F14" s="59">
        <f>SUM(F2:F8)</f>
        <v>0</v>
      </c>
      <c r="G14" s="44"/>
      <c r="H14" s="60"/>
      <c r="I14" s="60"/>
      <c r="J14" s="60"/>
      <c r="K14" s="60"/>
      <c r="L14" s="60"/>
      <c r="M14" s="44"/>
      <c r="N14" s="60"/>
      <c r="O14" s="44"/>
      <c r="P14" s="60"/>
    </row>
    <row r="15" spans="1:16">
      <c r="A15" s="3"/>
      <c r="B15" s="35"/>
      <c r="C15" s="60"/>
      <c r="E15" s="43"/>
      <c r="F15" s="22"/>
      <c r="G15" s="44"/>
      <c r="H15" s="60"/>
      <c r="I15" s="60"/>
      <c r="J15" s="60"/>
      <c r="K15" s="60"/>
      <c r="L15" s="60"/>
      <c r="M15" s="44"/>
      <c r="N15" s="60"/>
      <c r="O15" s="44"/>
      <c r="P15" s="60"/>
    </row>
    <row r="16" spans="1:16">
      <c r="A16" s="3"/>
      <c r="B16" s="35"/>
      <c r="C16" s="60"/>
      <c r="D16" s="27" t="s">
        <v>1</v>
      </c>
      <c r="E16" s="43"/>
      <c r="F16" s="22"/>
      <c r="G16" s="44"/>
      <c r="H16" s="60"/>
      <c r="I16" s="60"/>
      <c r="J16" s="60"/>
      <c r="K16" s="60"/>
      <c r="L16" s="60"/>
      <c r="M16" s="44"/>
      <c r="N16" s="60"/>
      <c r="O16" s="44"/>
      <c r="P16" s="60"/>
    </row>
    <row r="17" spans="1:16">
      <c r="A17" s="3"/>
      <c r="B17" s="35"/>
      <c r="C17" s="60"/>
      <c r="D17" s="37">
        <f>ROUNDUP(D14/3,0)</f>
        <v>0</v>
      </c>
      <c r="E17" s="44"/>
      <c r="F17" s="22"/>
      <c r="G17" s="44"/>
      <c r="H17" s="60"/>
      <c r="I17" s="60"/>
      <c r="J17" s="60"/>
      <c r="K17" s="60"/>
      <c r="L17" s="60"/>
      <c r="M17" s="44"/>
      <c r="N17" s="60"/>
      <c r="O17" s="44"/>
      <c r="P17" s="60"/>
    </row>
    <row r="18" spans="1:16">
      <c r="A18" s="3"/>
      <c r="B18" s="35"/>
      <c r="C18" s="60"/>
      <c r="D18" s="60"/>
      <c r="E18" s="44"/>
      <c r="F18" s="44"/>
      <c r="G18" s="44"/>
      <c r="H18" s="60"/>
      <c r="I18" s="60"/>
      <c r="J18" s="60"/>
      <c r="K18" s="60"/>
      <c r="L18" s="60"/>
      <c r="M18" s="44"/>
      <c r="N18" s="60"/>
      <c r="O18" s="44"/>
      <c r="P18" s="60"/>
    </row>
    <row r="19" spans="1:16">
      <c r="A19" s="3"/>
      <c r="B19" s="35"/>
      <c r="C19" s="43"/>
      <c r="D19" s="43"/>
      <c r="E19" s="28"/>
      <c r="F19" s="44"/>
      <c r="G19" s="28"/>
      <c r="H19" s="43"/>
      <c r="I19" s="1"/>
      <c r="J19" s="1"/>
      <c r="K19" s="43"/>
      <c r="L19" s="43"/>
      <c r="M19" s="28"/>
      <c r="N19" s="1"/>
      <c r="O19" s="1"/>
      <c r="P19" s="44"/>
    </row>
    <row r="20" spans="1:16">
      <c r="A20" s="3"/>
      <c r="B20" s="35"/>
      <c r="C20" s="43"/>
      <c r="D20" s="43"/>
      <c r="E20" s="28"/>
      <c r="F20" s="44"/>
      <c r="G20" s="28"/>
      <c r="H20" s="72"/>
      <c r="I20" s="1"/>
      <c r="J20" s="1"/>
      <c r="K20" s="43"/>
      <c r="L20" s="43"/>
      <c r="M20" s="28"/>
      <c r="N20" s="1"/>
      <c r="O20" s="1"/>
      <c r="P20" s="43"/>
    </row>
    <row r="21" spans="1:16">
      <c r="A21" s="3"/>
      <c r="B21" s="35"/>
      <c r="C21" s="43"/>
      <c r="D21" s="43"/>
      <c r="E21" s="28"/>
      <c r="F21" s="44"/>
      <c r="G21" s="28"/>
      <c r="H21" s="43"/>
      <c r="I21" s="1"/>
      <c r="J21" s="1"/>
      <c r="K21" s="43"/>
      <c r="L21" s="43"/>
      <c r="M21" s="28"/>
      <c r="N21" s="1"/>
      <c r="O21" s="1"/>
      <c r="P21" s="43"/>
    </row>
    <row r="22" spans="1:16">
      <c r="A22" s="1"/>
      <c r="B22" s="1"/>
      <c r="C22" s="1"/>
      <c r="D22" s="1"/>
      <c r="E22" s="1"/>
      <c r="F22" s="22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22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22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22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22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22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22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22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22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22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22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22"/>
      <c r="G33" s="1"/>
      <c r="H33" s="1"/>
      <c r="I33" s="1"/>
      <c r="J33" s="1"/>
      <c r="K33" s="1"/>
      <c r="L33" s="1"/>
      <c r="M33" s="1"/>
      <c r="N33" s="1"/>
      <c r="O33" s="1"/>
      <c r="P33" s="1"/>
    </row>
  </sheetData>
  <hyperlinks>
    <hyperlink ref="A1" location="'Fuerzas de la Luz'!A1" display="Los Pueblos Libres: Los Caminantes Infatigables"/>
  </hyperlinks>
  <pageMargins left="0.7" right="0.7" top="0.75" bottom="0.75" header="0.3" footer="0.3"/>
  <ignoredErrors>
    <ignoredError sqref="E7 F5:F6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dimension ref="A1:V34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11" width="3.28515625" customWidth="1"/>
    <col min="12" max="14" width="9.7109375" customWidth="1"/>
  </cols>
  <sheetData>
    <row r="1" spans="1:22" ht="170.1" customHeight="1">
      <c r="A1" s="175" t="s">
        <v>218</v>
      </c>
      <c r="B1" s="4" t="s">
        <v>3</v>
      </c>
      <c r="C1" s="5" t="s">
        <v>112</v>
      </c>
      <c r="D1" s="5" t="s">
        <v>189</v>
      </c>
      <c r="E1" s="83" t="s">
        <v>190</v>
      </c>
      <c r="F1" s="5" t="s">
        <v>4</v>
      </c>
      <c r="G1" s="5" t="s">
        <v>67</v>
      </c>
      <c r="H1" s="5" t="s">
        <v>14</v>
      </c>
      <c r="I1" s="5" t="s">
        <v>113</v>
      </c>
      <c r="J1" s="5" t="s">
        <v>89</v>
      </c>
      <c r="K1" s="5" t="s">
        <v>17</v>
      </c>
      <c r="L1" s="5" t="s">
        <v>24</v>
      </c>
      <c r="M1" s="5" t="s">
        <v>0</v>
      </c>
      <c r="N1" s="5" t="s">
        <v>25</v>
      </c>
      <c r="O1" s="52"/>
      <c r="P1" s="52"/>
      <c r="Q1" s="52"/>
      <c r="R1" s="52"/>
      <c r="S1" s="1"/>
      <c r="T1" s="1"/>
      <c r="U1" s="1"/>
      <c r="V1" s="1"/>
    </row>
    <row r="2" spans="1:22">
      <c r="A2" s="6" t="s">
        <v>219</v>
      </c>
      <c r="B2" s="7">
        <v>150</v>
      </c>
      <c r="C2" s="14"/>
      <c r="D2" s="16"/>
      <c r="E2" s="15"/>
      <c r="F2" s="15"/>
      <c r="G2" s="116"/>
      <c r="H2" s="116"/>
      <c r="I2" s="116"/>
      <c r="J2" s="16"/>
      <c r="K2" s="16"/>
      <c r="L2" s="7"/>
      <c r="M2" s="12">
        <f>L2*B2+(10*C2)</f>
        <v>0</v>
      </c>
      <c r="N2" s="13">
        <f>3*L2</f>
        <v>0</v>
      </c>
      <c r="O2" s="44"/>
      <c r="P2" s="60"/>
      <c r="Q2" s="60"/>
      <c r="R2" s="44"/>
      <c r="S2" s="1"/>
      <c r="T2" s="1"/>
      <c r="U2" s="1"/>
      <c r="V2" s="1"/>
    </row>
    <row r="3" spans="1:22">
      <c r="A3" s="6" t="s">
        <v>220</v>
      </c>
      <c r="B3" s="7">
        <v>125</v>
      </c>
      <c r="C3" s="43"/>
      <c r="D3" s="43"/>
      <c r="E3" s="28"/>
      <c r="F3" s="28"/>
      <c r="G3" s="43"/>
      <c r="H3" s="43"/>
      <c r="I3" s="43"/>
      <c r="J3" s="43"/>
      <c r="K3" s="43"/>
      <c r="L3" s="7"/>
      <c r="M3" s="12">
        <f>L3*B3</f>
        <v>0</v>
      </c>
      <c r="N3" s="13">
        <f>3*L3</f>
        <v>0</v>
      </c>
      <c r="O3" s="44"/>
      <c r="P3" s="60"/>
      <c r="Q3" s="60"/>
      <c r="R3" s="44"/>
      <c r="S3" s="1"/>
      <c r="T3" s="1"/>
      <c r="U3" s="1"/>
      <c r="V3" s="1"/>
    </row>
    <row r="4" spans="1:22">
      <c r="A4" s="6" t="s">
        <v>221</v>
      </c>
      <c r="B4" s="7">
        <v>150</v>
      </c>
      <c r="C4" s="14"/>
      <c r="D4" s="16"/>
      <c r="E4" s="15"/>
      <c r="F4" s="15"/>
      <c r="G4" s="116"/>
      <c r="H4" s="116"/>
      <c r="I4" s="116"/>
      <c r="J4" s="16"/>
      <c r="K4" s="16"/>
      <c r="L4" s="12"/>
      <c r="M4" s="12">
        <f>L4*B4+(10*C4)</f>
        <v>0</v>
      </c>
      <c r="N4" s="13">
        <f>3*L4</f>
        <v>0</v>
      </c>
      <c r="O4" s="44"/>
      <c r="P4" s="60"/>
      <c r="Q4" s="60"/>
      <c r="R4" s="44"/>
      <c r="S4" s="1"/>
      <c r="T4" s="1"/>
      <c r="U4" s="1"/>
      <c r="V4" s="1"/>
    </row>
    <row r="5" spans="1:22">
      <c r="A5" s="6" t="s">
        <v>195</v>
      </c>
      <c r="B5" s="7">
        <v>170</v>
      </c>
      <c r="C5" s="24"/>
      <c r="D5" s="14"/>
      <c r="E5" s="17"/>
      <c r="F5" s="28"/>
      <c r="G5" s="43"/>
      <c r="H5" s="43"/>
      <c r="I5" s="43"/>
      <c r="J5" s="43"/>
      <c r="K5" s="43"/>
      <c r="L5" s="12"/>
      <c r="M5" s="12">
        <f>L5*B5+(10*C5+25*D5+15*E5)</f>
        <v>0</v>
      </c>
      <c r="N5" s="13">
        <f t="shared" ref="N5:N6" si="0">3*L5</f>
        <v>0</v>
      </c>
      <c r="O5" s="44"/>
      <c r="P5" s="60"/>
      <c r="Q5" s="60"/>
      <c r="R5" s="44"/>
      <c r="S5" s="1"/>
      <c r="T5" s="1"/>
      <c r="U5" s="1"/>
      <c r="V5" s="1"/>
    </row>
    <row r="6" spans="1:22">
      <c r="A6" s="6" t="s">
        <v>132</v>
      </c>
      <c r="B6" s="7">
        <v>130</v>
      </c>
      <c r="C6" s="16"/>
      <c r="D6" s="16"/>
      <c r="E6" s="15"/>
      <c r="F6" s="17"/>
      <c r="G6" s="116"/>
      <c r="H6" s="21"/>
      <c r="I6" s="116"/>
      <c r="J6" s="14"/>
      <c r="K6" s="16"/>
      <c r="L6" s="12"/>
      <c r="M6" s="12">
        <f>L6*B6+(5*F6+5*H6+5*J6)</f>
        <v>0</v>
      </c>
      <c r="N6" s="13">
        <f t="shared" si="0"/>
        <v>0</v>
      </c>
      <c r="O6" s="44"/>
      <c r="P6" s="60"/>
      <c r="Q6" s="60"/>
      <c r="R6" s="44"/>
      <c r="S6" s="1"/>
      <c r="T6" s="1"/>
      <c r="U6" s="1"/>
      <c r="V6" s="1"/>
    </row>
    <row r="7" spans="1:22">
      <c r="A7" s="6" t="s">
        <v>119</v>
      </c>
      <c r="B7" s="7">
        <v>90</v>
      </c>
      <c r="C7" s="43"/>
      <c r="D7" s="43"/>
      <c r="E7" s="28"/>
      <c r="F7" s="28"/>
      <c r="G7" s="43"/>
      <c r="H7" s="43"/>
      <c r="I7" s="43"/>
      <c r="J7" s="43"/>
      <c r="K7" s="43"/>
      <c r="L7" s="18"/>
      <c r="M7" s="12">
        <f>L7*B7</f>
        <v>0</v>
      </c>
      <c r="N7" s="13">
        <f>1*L7</f>
        <v>0</v>
      </c>
      <c r="O7" s="44"/>
      <c r="P7" s="60"/>
      <c r="Q7" s="60"/>
      <c r="R7" s="44"/>
      <c r="S7" s="1"/>
      <c r="T7" s="1"/>
      <c r="U7" s="1"/>
      <c r="V7" s="1"/>
    </row>
    <row r="8" spans="1:22">
      <c r="A8" s="6" t="s">
        <v>222</v>
      </c>
      <c r="B8" s="7">
        <v>130</v>
      </c>
      <c r="C8" s="14"/>
      <c r="D8" s="16"/>
      <c r="E8" s="15"/>
      <c r="F8" s="15"/>
      <c r="G8" s="116"/>
      <c r="H8" s="116"/>
      <c r="I8" s="21"/>
      <c r="J8" s="16"/>
      <c r="K8" s="16"/>
      <c r="L8" s="12"/>
      <c r="M8" s="12">
        <f>L8*B8+(10*C8+10*I8)</f>
        <v>0</v>
      </c>
      <c r="N8" s="13">
        <f>3*L8</f>
        <v>0</v>
      </c>
      <c r="O8" s="44"/>
      <c r="P8" s="60"/>
      <c r="Q8" s="60"/>
      <c r="R8" s="44"/>
      <c r="S8" s="1"/>
      <c r="T8" s="1"/>
      <c r="U8" s="1"/>
      <c r="V8" s="1"/>
    </row>
    <row r="9" spans="1:22">
      <c r="A9" s="6" t="s">
        <v>118</v>
      </c>
      <c r="B9" s="7">
        <v>80</v>
      </c>
      <c r="C9" s="43"/>
      <c r="D9" s="43"/>
      <c r="E9" s="28"/>
      <c r="F9" s="28"/>
      <c r="G9" s="43"/>
      <c r="H9" s="43"/>
      <c r="I9" s="43"/>
      <c r="J9" s="43"/>
      <c r="K9" s="14"/>
      <c r="L9" s="12"/>
      <c r="M9" s="12">
        <f>L9*B9+(10*K9)</f>
        <v>0</v>
      </c>
      <c r="N9" s="13">
        <f>1*L9</f>
        <v>0</v>
      </c>
      <c r="O9" s="44"/>
      <c r="P9" s="60"/>
      <c r="Q9" s="60"/>
      <c r="R9" s="44"/>
      <c r="S9" s="1"/>
      <c r="T9" s="1"/>
      <c r="U9" s="1"/>
      <c r="V9" s="1"/>
    </row>
    <row r="10" spans="1:22">
      <c r="A10" s="6" t="s">
        <v>115</v>
      </c>
      <c r="B10" s="19">
        <v>170</v>
      </c>
      <c r="C10" s="16"/>
      <c r="D10" s="16"/>
      <c r="E10" s="15"/>
      <c r="F10" s="15"/>
      <c r="G10" s="116"/>
      <c r="H10" s="116"/>
      <c r="I10" s="116"/>
      <c r="J10" s="16"/>
      <c r="K10" s="16"/>
      <c r="L10" s="18"/>
      <c r="M10" s="12">
        <f>L10*B10</f>
        <v>0</v>
      </c>
      <c r="N10" s="13">
        <f>3*L10</f>
        <v>0</v>
      </c>
      <c r="O10" s="44"/>
      <c r="P10" s="60"/>
      <c r="Q10" s="60"/>
      <c r="R10" s="44"/>
      <c r="S10" s="1"/>
      <c r="T10" s="1"/>
      <c r="U10" s="1"/>
      <c r="V10" s="1"/>
    </row>
    <row r="11" spans="1:22">
      <c r="A11" s="6" t="s">
        <v>223</v>
      </c>
      <c r="B11" s="19">
        <v>90</v>
      </c>
      <c r="C11" s="43"/>
      <c r="D11" s="43"/>
      <c r="E11" s="28"/>
      <c r="F11" s="28"/>
      <c r="G11" s="43"/>
      <c r="H11" s="43"/>
      <c r="I11" s="43"/>
      <c r="J11" s="43"/>
      <c r="K11" s="43"/>
      <c r="L11" s="18"/>
      <c r="M11" s="12">
        <f>L11*B11</f>
        <v>0</v>
      </c>
      <c r="N11" s="13">
        <f>3*L11</f>
        <v>0</v>
      </c>
      <c r="O11" s="44"/>
      <c r="P11" s="60"/>
      <c r="Q11" s="60"/>
      <c r="R11" s="44"/>
      <c r="S11" s="1"/>
      <c r="T11" s="1"/>
      <c r="U11" s="1"/>
      <c r="V11" s="1"/>
    </row>
    <row r="12" spans="1:22">
      <c r="A12" s="6" t="s">
        <v>224</v>
      </c>
      <c r="B12" s="19">
        <v>60</v>
      </c>
      <c r="C12" s="20"/>
      <c r="D12" s="16"/>
      <c r="E12" s="15"/>
      <c r="F12" s="15"/>
      <c r="G12" s="116"/>
      <c r="H12" s="116"/>
      <c r="I12" s="116"/>
      <c r="J12" s="16"/>
      <c r="K12" s="20"/>
      <c r="L12" s="18"/>
      <c r="M12" s="12">
        <f>L12*B12+(10*C12+10*K12)</f>
        <v>0</v>
      </c>
      <c r="N12" s="13">
        <f>1*L12</f>
        <v>0</v>
      </c>
      <c r="O12" s="44"/>
      <c r="P12" s="60"/>
      <c r="Q12" s="60"/>
      <c r="R12" s="44"/>
      <c r="S12" s="1"/>
      <c r="T12" s="1"/>
      <c r="U12" s="1"/>
      <c r="V12" s="1"/>
    </row>
    <row r="13" spans="1:22">
      <c r="A13" s="6" t="s">
        <v>136</v>
      </c>
      <c r="B13" s="7">
        <v>90</v>
      </c>
      <c r="C13" s="14"/>
      <c r="D13" s="43"/>
      <c r="E13" s="28"/>
      <c r="F13" s="28"/>
      <c r="G13" s="14"/>
      <c r="H13" s="43"/>
      <c r="I13" s="43"/>
      <c r="J13" s="43"/>
      <c r="K13" s="14"/>
      <c r="L13" s="12"/>
      <c r="M13" s="12">
        <f>L13*B13+(10*C13+5*G13+10*K13)</f>
        <v>0</v>
      </c>
      <c r="N13" s="13">
        <f>3*L13</f>
        <v>0</v>
      </c>
      <c r="O13" s="44"/>
      <c r="P13" s="60"/>
      <c r="Q13" s="60"/>
      <c r="R13" s="44"/>
      <c r="S13" s="1"/>
      <c r="T13" s="1"/>
      <c r="U13" s="1"/>
      <c r="V13" s="1"/>
    </row>
    <row r="14" spans="1:22">
      <c r="A14" s="3"/>
      <c r="B14" s="35"/>
      <c r="C14" s="60"/>
      <c r="D14" s="60"/>
      <c r="E14" s="44"/>
      <c r="F14" s="44"/>
      <c r="G14" s="60"/>
      <c r="H14" s="60"/>
      <c r="I14" s="60"/>
      <c r="J14" s="60"/>
      <c r="K14" s="60"/>
      <c r="L14" s="1"/>
      <c r="M14" s="1"/>
      <c r="N14" s="22"/>
      <c r="O14" s="44"/>
      <c r="P14" s="60"/>
      <c r="Q14" s="60"/>
      <c r="R14" s="44"/>
      <c r="S14" s="1"/>
      <c r="T14" s="1"/>
      <c r="U14" s="1"/>
      <c r="V14" s="1"/>
    </row>
    <row r="15" spans="1:22" ht="15.75" thickBot="1">
      <c r="A15" s="3"/>
      <c r="B15" s="35"/>
      <c r="C15" s="60"/>
      <c r="D15" s="60"/>
      <c r="E15" s="44"/>
      <c r="F15" s="44"/>
      <c r="G15" s="60"/>
      <c r="H15" s="60"/>
      <c r="I15" s="60"/>
      <c r="J15" s="60"/>
      <c r="K15" s="60"/>
      <c r="L15" s="27" t="s">
        <v>46</v>
      </c>
      <c r="M15" s="30" t="s">
        <v>47</v>
      </c>
      <c r="N15" s="30" t="s">
        <v>47</v>
      </c>
      <c r="O15" s="44"/>
      <c r="P15" s="60"/>
      <c r="Q15" s="60"/>
      <c r="R15" s="44"/>
      <c r="S15" s="1"/>
      <c r="T15" s="1"/>
      <c r="U15" s="1"/>
      <c r="V15" s="1"/>
    </row>
    <row r="16" spans="1:22" ht="15.75" thickBot="1">
      <c r="A16" s="3"/>
      <c r="B16" s="35"/>
      <c r="C16" s="60"/>
      <c r="D16" s="60"/>
      <c r="E16" s="44"/>
      <c r="F16" s="44"/>
      <c r="G16" s="60"/>
      <c r="H16" s="60"/>
      <c r="I16" s="60"/>
      <c r="J16" s="60"/>
      <c r="K16" s="60"/>
      <c r="L16" s="31">
        <f>SUM(L2:L13)</f>
        <v>0</v>
      </c>
      <c r="M16" s="58">
        <f>SUM(M2:M13)</f>
        <v>0</v>
      </c>
      <c r="N16" s="59">
        <f>SUM(N2:N13)</f>
        <v>0</v>
      </c>
      <c r="O16" s="44"/>
      <c r="P16" s="60"/>
      <c r="Q16" s="60"/>
      <c r="R16" s="44"/>
      <c r="S16" s="1"/>
      <c r="T16" s="1"/>
      <c r="U16" s="1"/>
      <c r="V16" s="1"/>
    </row>
    <row r="17" spans="1:22">
      <c r="A17" s="3"/>
      <c r="B17" s="35"/>
      <c r="C17" s="60"/>
      <c r="D17" s="60"/>
      <c r="E17" s="44"/>
      <c r="F17" s="44"/>
      <c r="G17" s="60"/>
      <c r="H17" s="60"/>
      <c r="I17" s="60"/>
      <c r="J17" s="60"/>
      <c r="K17" s="60"/>
      <c r="M17" s="43"/>
      <c r="N17" s="13"/>
      <c r="O17" s="44"/>
      <c r="P17" s="60"/>
      <c r="Q17" s="60"/>
      <c r="R17" s="44"/>
      <c r="S17" s="1"/>
      <c r="T17" s="1"/>
      <c r="U17" s="1"/>
      <c r="V17" s="1"/>
    </row>
    <row r="18" spans="1:22">
      <c r="A18" s="3"/>
      <c r="B18" s="35"/>
      <c r="C18" s="60"/>
      <c r="D18" s="60"/>
      <c r="E18" s="44"/>
      <c r="F18" s="44"/>
      <c r="G18" s="60"/>
      <c r="H18" s="60"/>
      <c r="I18" s="60"/>
      <c r="J18" s="60"/>
      <c r="K18" s="60"/>
      <c r="L18" s="27" t="s">
        <v>1</v>
      </c>
      <c r="M18" s="43"/>
      <c r="N18" s="22"/>
      <c r="O18" s="44"/>
      <c r="P18" s="60"/>
      <c r="Q18" s="60"/>
      <c r="R18" s="44"/>
      <c r="S18" s="1"/>
      <c r="T18" s="1"/>
      <c r="U18" s="1"/>
      <c r="V18" s="1"/>
    </row>
    <row r="19" spans="1:22">
      <c r="A19" s="3"/>
      <c r="B19" s="35"/>
      <c r="C19" s="43"/>
      <c r="D19" s="43"/>
      <c r="E19" s="28"/>
      <c r="F19" s="28"/>
      <c r="G19" s="28"/>
      <c r="H19" s="43"/>
      <c r="I19" s="1"/>
      <c r="J19" s="1"/>
      <c r="K19" s="43"/>
      <c r="L19" s="37">
        <f>ROUNDUP(L16/3,0)</f>
        <v>0</v>
      </c>
      <c r="M19" s="28"/>
      <c r="N19" s="22"/>
      <c r="O19" s="1"/>
      <c r="P19" s="44"/>
      <c r="Q19" s="1"/>
      <c r="R19" s="1"/>
      <c r="S19" s="1"/>
      <c r="T19" s="1"/>
      <c r="U19" s="1"/>
      <c r="V19" s="1"/>
    </row>
    <row r="20" spans="1:22">
      <c r="A20" s="3"/>
      <c r="B20" s="35"/>
      <c r="C20" s="43"/>
      <c r="D20" s="43"/>
      <c r="E20" s="28"/>
      <c r="F20" s="28"/>
      <c r="G20" s="28"/>
      <c r="H20" s="72"/>
      <c r="I20" s="1"/>
      <c r="J20" s="1"/>
      <c r="K20" s="43"/>
      <c r="L20" s="43"/>
      <c r="M20" s="28"/>
      <c r="N20" s="22"/>
      <c r="O20" s="1"/>
      <c r="P20" s="43"/>
      <c r="Q20" s="43"/>
      <c r="R20" s="1"/>
      <c r="S20" s="1"/>
      <c r="T20" s="1"/>
      <c r="U20" s="1"/>
      <c r="V20" s="1"/>
    </row>
    <row r="21" spans="1:22">
      <c r="A21" s="3"/>
      <c r="B21" s="35"/>
      <c r="C21" s="43"/>
      <c r="D21" s="43"/>
      <c r="E21" s="28"/>
      <c r="F21" s="28"/>
      <c r="G21" s="28"/>
      <c r="H21" s="43"/>
      <c r="I21" s="1"/>
      <c r="J21" s="1"/>
      <c r="K21" s="43"/>
      <c r="L21" s="43"/>
      <c r="M21" s="28"/>
      <c r="N21" s="22"/>
      <c r="O21" s="1"/>
      <c r="P21" s="43"/>
      <c r="Q21" s="43"/>
      <c r="R21" s="1"/>
      <c r="S21" s="1"/>
      <c r="T21" s="1"/>
      <c r="U21" s="1"/>
      <c r="V21" s="1"/>
    </row>
    <row r="22" spans="1: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22"/>
      <c r="O22" s="1"/>
      <c r="P22" s="1"/>
      <c r="Q22" s="1"/>
      <c r="R22" s="1"/>
      <c r="S22" s="1"/>
      <c r="T22" s="1"/>
      <c r="U22" s="1"/>
      <c r="V22" s="1"/>
    </row>
    <row r="23" spans="1:2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22"/>
      <c r="O23" s="1"/>
      <c r="P23" s="1"/>
      <c r="Q23" s="1"/>
      <c r="R23" s="1"/>
      <c r="S23" s="1"/>
      <c r="T23" s="1"/>
      <c r="U23" s="1"/>
      <c r="V23" s="1"/>
    </row>
    <row r="24" spans="1:2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22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22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2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22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2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2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2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2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2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2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22"/>
      <c r="O34" s="1"/>
      <c r="P34" s="1"/>
      <c r="Q34" s="1"/>
      <c r="R34" s="1"/>
      <c r="S34" s="1"/>
      <c r="T34" s="1"/>
      <c r="U34" s="1"/>
      <c r="V34" s="1"/>
    </row>
  </sheetData>
  <hyperlinks>
    <hyperlink ref="A1" location="'Fuerzas de la Luz'!A1" display="Los Pueblos Libres: El Concilio Blanco"/>
  </hyperlinks>
  <pageMargins left="0.7" right="0.7" top="0.75" bottom="0.75" header="0.3" footer="0.3"/>
  <ignoredErrors>
    <ignoredError sqref="M3 N7:N8 N9 N12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>
  <dimension ref="A1:Z55"/>
  <sheetViews>
    <sheetView workbookViewId="0"/>
  </sheetViews>
  <sheetFormatPr baseColWidth="10" defaultRowHeight="15"/>
  <cols>
    <col min="1" max="1" width="34.28515625" customWidth="1"/>
    <col min="2" max="2" width="9.7109375" customWidth="1"/>
    <col min="3" max="17" width="3.28515625" customWidth="1"/>
    <col min="18" max="20" width="9.7109375" customWidth="1"/>
  </cols>
  <sheetData>
    <row r="1" spans="1:26" ht="170.1" customHeight="1">
      <c r="A1" s="176" t="s">
        <v>452</v>
      </c>
      <c r="B1" s="4" t="s">
        <v>3</v>
      </c>
      <c r="C1" s="5" t="s">
        <v>4</v>
      </c>
      <c r="D1" s="5" t="s">
        <v>7</v>
      </c>
      <c r="E1" s="5" t="s">
        <v>9</v>
      </c>
      <c r="F1" s="5" t="s">
        <v>10</v>
      </c>
      <c r="G1" s="5" t="s">
        <v>11</v>
      </c>
      <c r="H1" s="5" t="s">
        <v>13</v>
      </c>
      <c r="I1" s="5" t="s">
        <v>475</v>
      </c>
      <c r="J1" s="5" t="s">
        <v>146</v>
      </c>
      <c r="K1" s="5" t="s">
        <v>14</v>
      </c>
      <c r="L1" s="5" t="s">
        <v>130</v>
      </c>
      <c r="M1" s="5" t="s">
        <v>476</v>
      </c>
      <c r="N1" s="5" t="s">
        <v>477</v>
      </c>
      <c r="O1" s="5" t="s">
        <v>478</v>
      </c>
      <c r="P1" s="5" t="s">
        <v>193</v>
      </c>
      <c r="Q1" s="5" t="s">
        <v>207</v>
      </c>
      <c r="R1" s="5" t="s">
        <v>24</v>
      </c>
      <c r="S1" s="5" t="s">
        <v>0</v>
      </c>
      <c r="T1" s="5" t="s">
        <v>25</v>
      </c>
      <c r="U1" s="208"/>
      <c r="V1" s="1"/>
      <c r="W1" s="1"/>
      <c r="X1" s="1"/>
      <c r="Y1" s="1"/>
      <c r="Z1" s="1"/>
    </row>
    <row r="2" spans="1:26">
      <c r="A2" s="6" t="s">
        <v>454</v>
      </c>
      <c r="B2" s="7">
        <v>100</v>
      </c>
      <c r="C2" s="138"/>
      <c r="D2" s="138"/>
      <c r="E2" s="139"/>
      <c r="F2" s="139"/>
      <c r="G2" s="139"/>
      <c r="H2" s="45"/>
      <c r="I2" s="138"/>
      <c r="J2" s="48"/>
      <c r="K2" s="211"/>
      <c r="L2" s="211"/>
      <c r="M2" s="212"/>
      <c r="N2" s="122"/>
      <c r="O2" s="122"/>
      <c r="P2" s="211"/>
      <c r="Q2" s="211"/>
      <c r="R2" s="7"/>
      <c r="S2" s="12">
        <f>R2*B2+(5*H2+5*J2+5*N2+10*O2)</f>
        <v>0</v>
      </c>
      <c r="T2" s="13">
        <f>3*R2</f>
        <v>0</v>
      </c>
      <c r="U2" s="60"/>
      <c r="V2" s="1"/>
      <c r="W2" s="1"/>
      <c r="X2" s="1"/>
      <c r="Y2" s="1"/>
      <c r="Z2" s="1"/>
    </row>
    <row r="3" spans="1:26">
      <c r="A3" s="6" t="s">
        <v>455</v>
      </c>
      <c r="B3" s="7">
        <v>55</v>
      </c>
      <c r="C3" s="210"/>
      <c r="D3" s="210"/>
      <c r="E3" s="210"/>
      <c r="F3" s="210"/>
      <c r="G3" s="210"/>
      <c r="H3" s="37"/>
      <c r="I3" s="210"/>
      <c r="J3" s="210"/>
      <c r="K3" s="213"/>
      <c r="L3" s="213"/>
      <c r="M3" s="213"/>
      <c r="N3" s="213"/>
      <c r="O3" s="213"/>
      <c r="P3" s="213"/>
      <c r="Q3" s="213"/>
      <c r="R3" s="7"/>
      <c r="S3" s="12">
        <f>R3*B3+(5*H3)</f>
        <v>0</v>
      </c>
      <c r="T3" s="13">
        <f t="shared" ref="T3:T5" si="0">2*R3</f>
        <v>0</v>
      </c>
      <c r="U3" s="29"/>
      <c r="V3" s="1"/>
      <c r="W3" s="1"/>
      <c r="X3" s="1"/>
      <c r="Y3" s="1"/>
      <c r="Z3" s="1"/>
    </row>
    <row r="4" spans="1:26">
      <c r="A4" s="6" t="s">
        <v>456</v>
      </c>
      <c r="B4" s="7">
        <v>55</v>
      </c>
      <c r="C4" s="138"/>
      <c r="D4" s="138"/>
      <c r="E4" s="139"/>
      <c r="F4" s="139"/>
      <c r="G4" s="139"/>
      <c r="H4" s="48"/>
      <c r="I4" s="138"/>
      <c r="J4" s="138"/>
      <c r="K4" s="211"/>
      <c r="L4" s="211"/>
      <c r="M4" s="212"/>
      <c r="N4" s="212"/>
      <c r="O4" s="212"/>
      <c r="P4" s="211"/>
      <c r="Q4" s="211"/>
      <c r="R4" s="12"/>
      <c r="S4" s="12">
        <f t="shared" ref="S4:S14" si="1">R4*B4+(5*H4)</f>
        <v>0</v>
      </c>
      <c r="T4" s="13">
        <f t="shared" si="0"/>
        <v>0</v>
      </c>
      <c r="U4" s="209"/>
      <c r="V4" s="1"/>
      <c r="W4" s="1"/>
      <c r="X4" s="1"/>
      <c r="Y4" s="1"/>
      <c r="Z4" s="1"/>
    </row>
    <row r="5" spans="1:26">
      <c r="A5" s="6" t="s">
        <v>457</v>
      </c>
      <c r="B5" s="7">
        <v>50</v>
      </c>
      <c r="C5" s="210"/>
      <c r="D5" s="210"/>
      <c r="E5" s="210"/>
      <c r="F5" s="210"/>
      <c r="G5" s="210"/>
      <c r="H5" s="37"/>
      <c r="I5" s="210"/>
      <c r="J5" s="210"/>
      <c r="K5" s="213"/>
      <c r="L5" s="213"/>
      <c r="M5" s="213"/>
      <c r="N5" s="213"/>
      <c r="O5" s="213"/>
      <c r="P5" s="213"/>
      <c r="Q5" s="213"/>
      <c r="R5" s="12"/>
      <c r="S5" s="12">
        <f t="shared" si="1"/>
        <v>0</v>
      </c>
      <c r="T5" s="13">
        <f t="shared" si="0"/>
        <v>0</v>
      </c>
      <c r="U5" s="29"/>
      <c r="V5" s="1"/>
      <c r="W5" s="1"/>
      <c r="X5" s="1"/>
      <c r="Y5" s="1"/>
      <c r="Z5" s="1"/>
    </row>
    <row r="6" spans="1:26">
      <c r="A6" s="6" t="s">
        <v>458</v>
      </c>
      <c r="B6" s="7">
        <v>50</v>
      </c>
      <c r="C6" s="138"/>
      <c r="D6" s="138"/>
      <c r="E6" s="139"/>
      <c r="F6" s="139"/>
      <c r="G6" s="139"/>
      <c r="H6" s="48"/>
      <c r="I6" s="138"/>
      <c r="J6" s="138"/>
      <c r="K6" s="211"/>
      <c r="L6" s="211"/>
      <c r="M6" s="212"/>
      <c r="N6" s="212"/>
      <c r="O6" s="212"/>
      <c r="P6" s="211"/>
      <c r="Q6" s="211"/>
      <c r="R6" s="12"/>
      <c r="S6" s="12">
        <f t="shared" si="1"/>
        <v>0</v>
      </c>
      <c r="T6" s="13">
        <f>2*R6</f>
        <v>0</v>
      </c>
      <c r="U6" s="209"/>
      <c r="V6" s="1"/>
      <c r="W6" s="1"/>
      <c r="X6" s="1"/>
      <c r="Y6" s="1"/>
      <c r="Z6" s="1"/>
    </row>
    <row r="7" spans="1:26">
      <c r="A7" s="6" t="s">
        <v>459</v>
      </c>
      <c r="B7" s="7">
        <v>45</v>
      </c>
      <c r="C7" s="210"/>
      <c r="D7" s="210"/>
      <c r="E7" s="210"/>
      <c r="F7" s="210"/>
      <c r="G7" s="210"/>
      <c r="H7" s="37"/>
      <c r="I7" s="210"/>
      <c r="J7" s="210"/>
      <c r="K7" s="213"/>
      <c r="L7" s="213"/>
      <c r="M7" s="213"/>
      <c r="N7" s="213"/>
      <c r="O7" s="213"/>
      <c r="P7" s="213"/>
      <c r="Q7" s="213"/>
      <c r="R7" s="18"/>
      <c r="S7" s="12">
        <f t="shared" si="1"/>
        <v>0</v>
      </c>
      <c r="T7" s="13">
        <f t="shared" ref="T7:T8" si="2">2*R7</f>
        <v>0</v>
      </c>
      <c r="U7" s="29"/>
      <c r="V7" s="1"/>
      <c r="W7" s="1"/>
      <c r="X7" s="1"/>
      <c r="Y7" s="1"/>
      <c r="Z7" s="1"/>
    </row>
    <row r="8" spans="1:26">
      <c r="A8" s="6" t="s">
        <v>460</v>
      </c>
      <c r="B8" s="7">
        <v>95</v>
      </c>
      <c r="C8" s="138"/>
      <c r="D8" s="138"/>
      <c r="E8" s="139"/>
      <c r="F8" s="139"/>
      <c r="G8" s="139"/>
      <c r="H8" s="48"/>
      <c r="I8" s="138"/>
      <c r="J8" s="138"/>
      <c r="K8" s="211"/>
      <c r="L8" s="211"/>
      <c r="M8" s="212"/>
      <c r="N8" s="212"/>
      <c r="O8" s="212"/>
      <c r="P8" s="211"/>
      <c r="Q8" s="211"/>
      <c r="R8" s="12"/>
      <c r="S8" s="12">
        <f t="shared" si="1"/>
        <v>0</v>
      </c>
      <c r="T8" s="13">
        <f t="shared" si="2"/>
        <v>0</v>
      </c>
      <c r="U8" s="209"/>
      <c r="V8" s="1"/>
      <c r="W8" s="1"/>
      <c r="X8" s="1"/>
      <c r="Y8" s="1"/>
      <c r="Z8" s="1"/>
    </row>
    <row r="9" spans="1:26">
      <c r="A9" s="6" t="s">
        <v>480</v>
      </c>
      <c r="B9" s="7">
        <v>45</v>
      </c>
      <c r="C9" s="210"/>
      <c r="D9" s="210"/>
      <c r="E9" s="210"/>
      <c r="F9" s="210"/>
      <c r="G9" s="210"/>
      <c r="H9" s="37"/>
      <c r="I9" s="210"/>
      <c r="J9" s="210"/>
      <c r="K9" s="213"/>
      <c r="L9" s="213"/>
      <c r="M9" s="213"/>
      <c r="N9" s="213"/>
      <c r="O9" s="213"/>
      <c r="P9" s="213"/>
      <c r="Q9" s="213"/>
      <c r="R9" s="12"/>
      <c r="S9" s="12">
        <f t="shared" si="1"/>
        <v>0</v>
      </c>
      <c r="T9" s="13">
        <f>1*R9</f>
        <v>0</v>
      </c>
      <c r="U9" s="29"/>
      <c r="V9" s="1"/>
      <c r="W9" s="1"/>
      <c r="X9" s="1"/>
      <c r="Y9" s="1"/>
      <c r="Z9" s="1"/>
    </row>
    <row r="10" spans="1:26">
      <c r="A10" s="6" t="s">
        <v>461</v>
      </c>
      <c r="B10" s="19">
        <v>45</v>
      </c>
      <c r="C10" s="138"/>
      <c r="D10" s="138"/>
      <c r="E10" s="139"/>
      <c r="F10" s="139"/>
      <c r="G10" s="139"/>
      <c r="H10" s="48"/>
      <c r="I10" s="138"/>
      <c r="J10" s="138"/>
      <c r="K10" s="211"/>
      <c r="L10" s="211"/>
      <c r="M10" s="212"/>
      <c r="N10" s="212"/>
      <c r="O10" s="212"/>
      <c r="P10" s="211"/>
      <c r="Q10" s="211"/>
      <c r="R10" s="18"/>
      <c r="S10" s="12">
        <f t="shared" si="1"/>
        <v>0</v>
      </c>
      <c r="T10" s="13">
        <f>1*R10</f>
        <v>0</v>
      </c>
      <c r="U10" s="209"/>
      <c r="V10" s="1"/>
      <c r="W10" s="1"/>
      <c r="X10" s="1"/>
      <c r="Y10" s="1"/>
      <c r="Z10" s="1"/>
    </row>
    <row r="11" spans="1:26">
      <c r="A11" s="6" t="s">
        <v>462</v>
      </c>
      <c r="B11" s="19">
        <v>85</v>
      </c>
      <c r="C11" s="210"/>
      <c r="D11" s="210"/>
      <c r="E11" s="210"/>
      <c r="F11" s="210"/>
      <c r="G11" s="210"/>
      <c r="H11" s="37"/>
      <c r="I11" s="210"/>
      <c r="J11" s="210"/>
      <c r="K11" s="213"/>
      <c r="L11" s="213"/>
      <c r="M11" s="213"/>
      <c r="N11" s="213"/>
      <c r="O11" s="213"/>
      <c r="P11" s="213"/>
      <c r="Q11" s="213"/>
      <c r="R11" s="18"/>
      <c r="S11" s="12">
        <f t="shared" si="1"/>
        <v>0</v>
      </c>
      <c r="T11" s="13">
        <f>2*R11</f>
        <v>0</v>
      </c>
      <c r="U11" s="29"/>
      <c r="V11" s="1"/>
      <c r="W11" s="1"/>
      <c r="X11" s="1"/>
      <c r="Y11" s="1"/>
      <c r="Z11" s="1"/>
    </row>
    <row r="12" spans="1:26">
      <c r="A12" s="6" t="s">
        <v>463</v>
      </c>
      <c r="B12" s="19">
        <v>40</v>
      </c>
      <c r="C12" s="138"/>
      <c r="D12" s="138"/>
      <c r="E12" s="139"/>
      <c r="F12" s="139"/>
      <c r="G12" s="139"/>
      <c r="H12" s="48"/>
      <c r="I12" s="138"/>
      <c r="J12" s="138"/>
      <c r="K12" s="211"/>
      <c r="L12" s="211"/>
      <c r="M12" s="212"/>
      <c r="N12" s="212"/>
      <c r="O12" s="212"/>
      <c r="P12" s="211"/>
      <c r="Q12" s="211"/>
      <c r="R12" s="18"/>
      <c r="S12" s="12">
        <f t="shared" si="1"/>
        <v>0</v>
      </c>
      <c r="T12" s="13">
        <f t="shared" ref="T12:T27" si="3">1*R12</f>
        <v>0</v>
      </c>
      <c r="U12" s="209"/>
      <c r="V12" s="1"/>
      <c r="W12" s="1"/>
      <c r="X12" s="1"/>
      <c r="Y12" s="1"/>
      <c r="Z12" s="1"/>
    </row>
    <row r="13" spans="1:26">
      <c r="A13" s="6" t="s">
        <v>464</v>
      </c>
      <c r="B13" s="7">
        <v>55</v>
      </c>
      <c r="C13" s="210"/>
      <c r="D13" s="210"/>
      <c r="E13" s="210"/>
      <c r="F13" s="210"/>
      <c r="G13" s="210"/>
      <c r="H13" s="37"/>
      <c r="I13" s="210"/>
      <c r="J13" s="210"/>
      <c r="K13" s="213"/>
      <c r="L13" s="213"/>
      <c r="M13" s="213"/>
      <c r="N13" s="213"/>
      <c r="O13" s="213"/>
      <c r="P13" s="213"/>
      <c r="Q13" s="213"/>
      <c r="R13" s="12"/>
      <c r="S13" s="12">
        <f t="shared" si="1"/>
        <v>0</v>
      </c>
      <c r="T13" s="13">
        <f>2*R13</f>
        <v>0</v>
      </c>
      <c r="U13" s="29"/>
      <c r="V13" s="1"/>
      <c r="W13" s="1"/>
      <c r="X13" s="1"/>
      <c r="Y13" s="1"/>
      <c r="Z13" s="1"/>
    </row>
    <row r="14" spans="1:26">
      <c r="A14" s="6" t="s">
        <v>465</v>
      </c>
      <c r="B14" s="19">
        <v>60</v>
      </c>
      <c r="C14" s="138"/>
      <c r="D14" s="138"/>
      <c r="E14" s="139"/>
      <c r="F14" s="139"/>
      <c r="G14" s="139"/>
      <c r="H14" s="48"/>
      <c r="I14" s="138"/>
      <c r="J14" s="138"/>
      <c r="K14" s="211"/>
      <c r="L14" s="211"/>
      <c r="M14" s="212"/>
      <c r="N14" s="212"/>
      <c r="O14" s="212"/>
      <c r="P14" s="211"/>
      <c r="Q14" s="211"/>
      <c r="R14" s="18"/>
      <c r="S14" s="12">
        <f t="shared" si="1"/>
        <v>0</v>
      </c>
      <c r="T14" s="13">
        <f>2*R14</f>
        <v>0</v>
      </c>
      <c r="U14" s="209"/>
      <c r="V14" s="1"/>
      <c r="W14" s="1"/>
      <c r="X14" s="1"/>
      <c r="Y14" s="1"/>
      <c r="Z14" s="1"/>
    </row>
    <row r="15" spans="1:26">
      <c r="A15" s="6" t="s">
        <v>213</v>
      </c>
      <c r="B15" s="19">
        <v>60</v>
      </c>
      <c r="C15" s="210"/>
      <c r="D15" s="210"/>
      <c r="E15" s="210"/>
      <c r="F15" s="210"/>
      <c r="G15" s="210"/>
      <c r="H15" s="37"/>
      <c r="I15" s="210"/>
      <c r="J15" s="210"/>
      <c r="K15" s="213"/>
      <c r="L15" s="213"/>
      <c r="M15" s="213"/>
      <c r="N15" s="213"/>
      <c r="O15" s="213"/>
      <c r="P15" s="37"/>
      <c r="Q15" s="37"/>
      <c r="R15" s="18"/>
      <c r="S15" s="12">
        <f>R15*B15+(5*H15+5*P15+0*Q15)</f>
        <v>0</v>
      </c>
      <c r="T15" s="13">
        <f t="shared" si="3"/>
        <v>0</v>
      </c>
      <c r="U15" s="29"/>
      <c r="V15" s="1"/>
      <c r="W15" s="1"/>
      <c r="X15" s="1"/>
      <c r="Y15" s="1"/>
      <c r="Z15" s="1"/>
    </row>
    <row r="16" spans="1:26">
      <c r="A16" s="6" t="s">
        <v>195</v>
      </c>
      <c r="B16" s="7">
        <v>170</v>
      </c>
      <c r="C16" s="138"/>
      <c r="D16" s="138"/>
      <c r="E16" s="139"/>
      <c r="F16" s="139"/>
      <c r="G16" s="37"/>
      <c r="H16" s="138"/>
      <c r="I16" s="138"/>
      <c r="J16" s="138"/>
      <c r="K16" s="211"/>
      <c r="L16" s="211"/>
      <c r="M16" s="212"/>
      <c r="N16" s="212"/>
      <c r="O16" s="212"/>
      <c r="P16" s="211"/>
      <c r="Q16" s="211"/>
      <c r="R16" s="12"/>
      <c r="S16" s="12">
        <f>R16*B16+(10*G16)</f>
        <v>0</v>
      </c>
      <c r="T16" s="13">
        <f>3*R16</f>
        <v>0</v>
      </c>
      <c r="U16" s="29"/>
      <c r="V16" s="1"/>
      <c r="W16" s="1"/>
      <c r="X16" s="1"/>
      <c r="Y16" s="1"/>
      <c r="Z16" s="1"/>
    </row>
    <row r="17" spans="1:26">
      <c r="A17" s="6" t="s">
        <v>219</v>
      </c>
      <c r="B17" s="19">
        <v>150</v>
      </c>
      <c r="C17" s="210"/>
      <c r="D17" s="210"/>
      <c r="E17" s="210"/>
      <c r="F17" s="210"/>
      <c r="G17" s="37"/>
      <c r="H17" s="210"/>
      <c r="I17" s="210"/>
      <c r="J17" s="210"/>
      <c r="K17" s="213"/>
      <c r="L17" s="213"/>
      <c r="M17" s="213"/>
      <c r="N17" s="213"/>
      <c r="O17" s="213"/>
      <c r="P17" s="213"/>
      <c r="Q17" s="213"/>
      <c r="R17" s="18"/>
      <c r="S17" s="12">
        <f t="shared" ref="S17" si="4">R17*B17+(10*G17)</f>
        <v>0</v>
      </c>
      <c r="T17" s="13">
        <f t="shared" ref="T17:T20" si="5">3*R17</f>
        <v>0</v>
      </c>
      <c r="U17" s="209"/>
      <c r="V17" s="1"/>
      <c r="W17" s="1"/>
      <c r="X17" s="1"/>
      <c r="Y17" s="1"/>
      <c r="Z17" s="1"/>
    </row>
    <row r="18" spans="1:26">
      <c r="A18" s="6" t="s">
        <v>221</v>
      </c>
      <c r="B18" s="19">
        <v>150</v>
      </c>
      <c r="C18" s="138"/>
      <c r="D18" s="138"/>
      <c r="E18" s="139"/>
      <c r="F18" s="139"/>
      <c r="G18" s="37"/>
      <c r="H18" s="138"/>
      <c r="I18" s="48"/>
      <c r="J18" s="138"/>
      <c r="K18" s="211"/>
      <c r="L18" s="211"/>
      <c r="M18" s="122"/>
      <c r="N18" s="212"/>
      <c r="O18" s="212"/>
      <c r="P18" s="211"/>
      <c r="Q18" s="211"/>
      <c r="R18" s="18"/>
      <c r="S18" s="12">
        <f>R18*B18+(10*G18+45*I18+5*M18)</f>
        <v>0</v>
      </c>
      <c r="T18" s="13">
        <f t="shared" si="5"/>
        <v>0</v>
      </c>
      <c r="U18" s="29"/>
      <c r="V18" s="1"/>
      <c r="W18" s="1"/>
      <c r="X18" s="1"/>
      <c r="Y18" s="1"/>
      <c r="Z18" s="1"/>
    </row>
    <row r="19" spans="1:26">
      <c r="A19" s="6" t="s">
        <v>131</v>
      </c>
      <c r="B19" s="7">
        <v>130</v>
      </c>
      <c r="C19" s="210"/>
      <c r="D19" s="210"/>
      <c r="E19" s="210"/>
      <c r="F19" s="210"/>
      <c r="G19" s="210"/>
      <c r="H19" s="210"/>
      <c r="I19" s="210"/>
      <c r="J19" s="210"/>
      <c r="K19" s="213"/>
      <c r="L19" s="37"/>
      <c r="M19" s="213"/>
      <c r="N19" s="213"/>
      <c r="O19" s="213"/>
      <c r="P19" s="213"/>
      <c r="Q19" s="213"/>
      <c r="R19" s="12"/>
      <c r="S19" s="12">
        <f>R19*B19+(25*L19)</f>
        <v>0</v>
      </c>
      <c r="T19" s="13">
        <f t="shared" si="5"/>
        <v>0</v>
      </c>
      <c r="U19" s="29"/>
      <c r="V19" s="1"/>
      <c r="W19" s="1"/>
      <c r="X19" s="1"/>
      <c r="Y19" s="1"/>
      <c r="Z19" s="1"/>
    </row>
    <row r="20" spans="1:26">
      <c r="A20" s="6" t="s">
        <v>115</v>
      </c>
      <c r="B20" s="19">
        <v>160</v>
      </c>
      <c r="C20" s="138"/>
      <c r="D20" s="138"/>
      <c r="E20" s="139"/>
      <c r="F20" s="139"/>
      <c r="G20" s="37"/>
      <c r="H20" s="138"/>
      <c r="I20" s="138"/>
      <c r="J20" s="138"/>
      <c r="K20" s="48"/>
      <c r="L20" s="211"/>
      <c r="M20" s="212"/>
      <c r="N20" s="212"/>
      <c r="O20" s="212"/>
      <c r="P20" s="211"/>
      <c r="Q20" s="211"/>
      <c r="R20" s="18"/>
      <c r="S20" s="12">
        <f>R20*B20+(10*G20+10*K20)</f>
        <v>0</v>
      </c>
      <c r="T20" s="13">
        <f t="shared" si="5"/>
        <v>0</v>
      </c>
      <c r="U20" s="209"/>
      <c r="V20" s="1"/>
      <c r="W20" s="1"/>
      <c r="X20" s="1"/>
      <c r="Y20" s="1"/>
      <c r="Z20" s="1"/>
    </row>
    <row r="21" spans="1:26">
      <c r="A21" s="6" t="s">
        <v>466</v>
      </c>
      <c r="B21" s="19">
        <v>60</v>
      </c>
      <c r="C21" s="210"/>
      <c r="D21" s="210"/>
      <c r="E21" s="210"/>
      <c r="F21" s="210"/>
      <c r="G21" s="37"/>
      <c r="H21" s="210"/>
      <c r="I21" s="210"/>
      <c r="J21" s="210"/>
      <c r="K21" s="37"/>
      <c r="L21" s="213"/>
      <c r="M21" s="213"/>
      <c r="N21" s="213"/>
      <c r="O21" s="213"/>
      <c r="P21" s="213"/>
      <c r="Q21" s="213"/>
      <c r="R21" s="18"/>
      <c r="S21" s="12">
        <f>R21*B21+(10*G21+10*K21)</f>
        <v>0</v>
      </c>
      <c r="T21" s="13">
        <f t="shared" si="3"/>
        <v>0</v>
      </c>
      <c r="U21" s="29"/>
      <c r="V21" s="1"/>
      <c r="W21" s="1"/>
      <c r="X21" s="1"/>
      <c r="Y21" s="1"/>
      <c r="Z21" s="1"/>
    </row>
    <row r="22" spans="1:26">
      <c r="A22" s="6" t="s">
        <v>467</v>
      </c>
      <c r="B22" s="7">
        <v>85</v>
      </c>
      <c r="C22" s="48"/>
      <c r="D22" s="138"/>
      <c r="E22" s="139"/>
      <c r="F22" s="139"/>
      <c r="G22" s="139"/>
      <c r="H22" s="138"/>
      <c r="I22" s="138"/>
      <c r="J22" s="138"/>
      <c r="K22" s="211"/>
      <c r="L22" s="211"/>
      <c r="M22" s="212"/>
      <c r="N22" s="212"/>
      <c r="O22" s="212"/>
      <c r="P22" s="211"/>
      <c r="Q22" s="211"/>
      <c r="R22" s="12"/>
      <c r="S22" s="12">
        <f>R22*B22+(5*C22)</f>
        <v>0</v>
      </c>
      <c r="T22" s="13">
        <f>2*R22</f>
        <v>0</v>
      </c>
      <c r="U22" s="29"/>
      <c r="V22" s="1"/>
      <c r="W22" s="1"/>
      <c r="X22" s="1"/>
      <c r="Y22" s="1"/>
      <c r="Z22" s="1"/>
    </row>
    <row r="23" spans="1:26">
      <c r="A23" s="6" t="s">
        <v>468</v>
      </c>
      <c r="B23" s="19">
        <v>140</v>
      </c>
      <c r="C23" s="210"/>
      <c r="D23" s="210"/>
      <c r="E23" s="210"/>
      <c r="F23" s="210"/>
      <c r="G23" s="210"/>
      <c r="H23" s="210"/>
      <c r="I23" s="210"/>
      <c r="J23" s="210"/>
      <c r="K23" s="213"/>
      <c r="L23" s="213"/>
      <c r="M23" s="213"/>
      <c r="N23" s="213"/>
      <c r="O23" s="213"/>
      <c r="P23" s="213"/>
      <c r="Q23" s="213"/>
      <c r="R23" s="18"/>
      <c r="S23" s="12">
        <f>R23*B23</f>
        <v>0</v>
      </c>
      <c r="T23" s="13">
        <f>3*R23</f>
        <v>0</v>
      </c>
      <c r="U23" s="209"/>
      <c r="V23" s="1"/>
      <c r="W23" s="1"/>
      <c r="X23" s="1"/>
      <c r="Y23" s="1"/>
      <c r="Z23" s="1"/>
    </row>
    <row r="24" spans="1:26">
      <c r="A24" s="6" t="s">
        <v>469</v>
      </c>
      <c r="B24" s="19">
        <v>140</v>
      </c>
      <c r="C24" s="138"/>
      <c r="D24" s="138"/>
      <c r="E24" s="139"/>
      <c r="F24" s="139"/>
      <c r="G24" s="139"/>
      <c r="H24" s="138"/>
      <c r="I24" s="138"/>
      <c r="J24" s="138"/>
      <c r="K24" s="211"/>
      <c r="L24" s="211"/>
      <c r="M24" s="212"/>
      <c r="N24" s="212"/>
      <c r="O24" s="212"/>
      <c r="P24" s="211"/>
      <c r="Q24" s="211"/>
      <c r="R24" s="18"/>
      <c r="S24" s="12">
        <f>R24*B24</f>
        <v>0</v>
      </c>
      <c r="T24" s="13">
        <f>3*R24</f>
        <v>0</v>
      </c>
      <c r="U24" s="29"/>
      <c r="V24" s="1"/>
      <c r="W24" s="1"/>
      <c r="X24" s="1"/>
      <c r="Y24" s="1"/>
      <c r="Z24" s="1"/>
    </row>
    <row r="25" spans="1:26">
      <c r="A25" s="6" t="s">
        <v>479</v>
      </c>
      <c r="B25" s="19">
        <v>60</v>
      </c>
      <c r="C25" s="37"/>
      <c r="D25" s="210"/>
      <c r="E25" s="210"/>
      <c r="F25" s="210"/>
      <c r="G25" s="210"/>
      <c r="H25" s="210"/>
      <c r="I25" s="210"/>
      <c r="J25" s="210"/>
      <c r="K25" s="213"/>
      <c r="L25" s="213"/>
      <c r="M25" s="213"/>
      <c r="N25" s="213"/>
      <c r="O25" s="213"/>
      <c r="P25" s="213"/>
      <c r="Q25" s="213"/>
      <c r="R25" s="18"/>
      <c r="S25" s="12">
        <f>R25*B25+(5*C25)</f>
        <v>0</v>
      </c>
      <c r="T25" s="13">
        <f>2*R25</f>
        <v>0</v>
      </c>
      <c r="U25" s="209"/>
      <c r="V25" s="1"/>
      <c r="W25" s="1"/>
      <c r="X25" s="1"/>
      <c r="Y25" s="1"/>
      <c r="Z25" s="1"/>
    </row>
    <row r="26" spans="1:26">
      <c r="A26" s="6" t="s">
        <v>470</v>
      </c>
      <c r="B26" s="19">
        <v>70</v>
      </c>
      <c r="C26" s="138"/>
      <c r="D26" s="138"/>
      <c r="E26" s="139"/>
      <c r="F26" s="139"/>
      <c r="G26" s="139"/>
      <c r="H26" s="138"/>
      <c r="I26" s="138"/>
      <c r="J26" s="138"/>
      <c r="K26" s="211"/>
      <c r="L26" s="211"/>
      <c r="M26" s="212"/>
      <c r="N26" s="212"/>
      <c r="O26" s="212"/>
      <c r="P26" s="211"/>
      <c r="Q26" s="211"/>
      <c r="R26" s="18"/>
      <c r="S26" s="12">
        <f>R26*B26</f>
        <v>0</v>
      </c>
      <c r="T26" s="13">
        <f>2*R26</f>
        <v>0</v>
      </c>
      <c r="U26" s="29"/>
      <c r="V26" s="1"/>
      <c r="W26" s="1"/>
      <c r="X26" s="1"/>
      <c r="Y26" s="1"/>
      <c r="Z26" s="1"/>
    </row>
    <row r="27" spans="1:26">
      <c r="A27" s="6" t="s">
        <v>211</v>
      </c>
      <c r="B27" s="7">
        <v>125</v>
      </c>
      <c r="C27" s="210"/>
      <c r="D27" s="210"/>
      <c r="E27" s="210"/>
      <c r="F27" s="210"/>
      <c r="G27" s="210"/>
      <c r="H27" s="210"/>
      <c r="I27" s="210"/>
      <c r="J27" s="210"/>
      <c r="K27" s="213"/>
      <c r="L27" s="213"/>
      <c r="M27" s="213"/>
      <c r="N27" s="213"/>
      <c r="O27" s="213"/>
      <c r="P27" s="213"/>
      <c r="Q27" s="213"/>
      <c r="R27" s="12"/>
      <c r="S27" s="12">
        <f>R27*B27</f>
        <v>0</v>
      </c>
      <c r="T27" s="214">
        <f t="shared" si="3"/>
        <v>0</v>
      </c>
      <c r="U27" s="29"/>
      <c r="V27" s="1"/>
      <c r="W27" s="1"/>
      <c r="X27" s="1"/>
      <c r="Y27" s="1"/>
      <c r="Z27" s="1"/>
    </row>
    <row r="28" spans="1:26">
      <c r="A28" s="6" t="s">
        <v>471</v>
      </c>
      <c r="B28" s="19">
        <v>21</v>
      </c>
      <c r="C28" s="45"/>
      <c r="D28" s="138"/>
      <c r="E28" s="69"/>
      <c r="F28" s="69"/>
      <c r="G28" s="139"/>
      <c r="H28" s="138"/>
      <c r="I28" s="138"/>
      <c r="J28" s="138"/>
      <c r="K28" s="211"/>
      <c r="L28" s="211"/>
      <c r="M28" s="212"/>
      <c r="N28" s="212"/>
      <c r="O28" s="212"/>
      <c r="P28" s="211"/>
      <c r="Q28" s="211"/>
      <c r="R28" s="18"/>
      <c r="S28" s="12">
        <f>R28*B28+(1*C28+30*E28+25*F28)</f>
        <v>0</v>
      </c>
      <c r="T28" s="22"/>
      <c r="U28" s="209"/>
      <c r="V28" s="1"/>
      <c r="W28" s="1"/>
      <c r="X28" s="1"/>
      <c r="Y28" s="1"/>
      <c r="Z28" s="1"/>
    </row>
    <row r="29" spans="1:26">
      <c r="A29" s="6" t="s">
        <v>472</v>
      </c>
      <c r="B29" s="19">
        <v>8</v>
      </c>
      <c r="C29" s="37"/>
      <c r="D29" s="37"/>
      <c r="E29" s="37"/>
      <c r="F29" s="37"/>
      <c r="G29" s="210"/>
      <c r="H29" s="210"/>
      <c r="I29" s="210"/>
      <c r="J29" s="210"/>
      <c r="K29" s="213"/>
      <c r="L29" s="213"/>
      <c r="M29" s="213"/>
      <c r="N29" s="213"/>
      <c r="O29" s="213"/>
      <c r="P29" s="213"/>
      <c r="Q29" s="213"/>
      <c r="R29" s="18"/>
      <c r="S29" s="12">
        <f>R29*B29+(1*C29+1*D29+30*E29+25*F29)</f>
        <v>0</v>
      </c>
      <c r="T29" s="22"/>
      <c r="U29" s="29"/>
      <c r="V29" s="1"/>
      <c r="W29" s="1"/>
      <c r="X29" s="1"/>
      <c r="Y29" s="1"/>
      <c r="Z29" s="1"/>
    </row>
    <row r="30" spans="1:26">
      <c r="A30" s="6" t="s">
        <v>473</v>
      </c>
      <c r="B30" s="7">
        <v>11</v>
      </c>
      <c r="C30" s="138"/>
      <c r="D30" s="138"/>
      <c r="E30" s="37"/>
      <c r="F30" s="37"/>
      <c r="G30" s="139"/>
      <c r="H30" s="138"/>
      <c r="I30" s="138"/>
      <c r="J30" s="138"/>
      <c r="K30" s="211"/>
      <c r="L30" s="211"/>
      <c r="M30" s="212"/>
      <c r="N30" s="212"/>
      <c r="O30" s="212"/>
      <c r="P30" s="211"/>
      <c r="Q30" s="211"/>
      <c r="R30" s="12"/>
      <c r="S30" s="12">
        <f>R30*B30+(30*E30+25*F30)</f>
        <v>0</v>
      </c>
      <c r="T30" s="22"/>
      <c r="U30" s="29"/>
      <c r="V30" s="1"/>
      <c r="W30" s="1"/>
      <c r="X30" s="1"/>
      <c r="Y30" s="1"/>
      <c r="Z30" s="1"/>
    </row>
    <row r="31" spans="1:26">
      <c r="A31" s="6" t="s">
        <v>474</v>
      </c>
      <c r="B31" s="19">
        <v>90</v>
      </c>
      <c r="C31" s="210"/>
      <c r="D31" s="210"/>
      <c r="E31" s="210"/>
      <c r="F31" s="210"/>
      <c r="G31" s="210"/>
      <c r="H31" s="210"/>
      <c r="I31" s="210"/>
      <c r="J31" s="210"/>
      <c r="K31" s="213"/>
      <c r="L31" s="213"/>
      <c r="M31" s="213"/>
      <c r="N31" s="213"/>
      <c r="O31" s="213"/>
      <c r="P31" s="213"/>
      <c r="Q31" s="213"/>
      <c r="R31" s="18"/>
      <c r="S31" s="12">
        <f>R31*B31</f>
        <v>0</v>
      </c>
      <c r="T31" s="22"/>
      <c r="U31" s="209"/>
      <c r="V31" s="1"/>
      <c r="W31" s="1"/>
      <c r="X31" s="1"/>
      <c r="Y31" s="1"/>
      <c r="Z31" s="1"/>
    </row>
    <row r="32" spans="1:26">
      <c r="A32" s="3"/>
      <c r="B32" s="35"/>
      <c r="C32" s="29"/>
      <c r="D32" s="29"/>
      <c r="E32" s="29"/>
      <c r="F32" s="29"/>
      <c r="G32" s="29"/>
      <c r="H32" s="29"/>
      <c r="I32" s="29"/>
      <c r="J32" s="44"/>
      <c r="K32" s="44"/>
      <c r="L32" s="44"/>
      <c r="M32" s="44"/>
      <c r="N32" s="44"/>
      <c r="O32" s="44"/>
      <c r="P32" s="29"/>
      <c r="Q32" s="29"/>
      <c r="R32" s="1"/>
      <c r="S32" s="1"/>
      <c r="T32" s="1"/>
      <c r="U32" s="29"/>
      <c r="V32" s="1"/>
      <c r="W32" s="1"/>
      <c r="X32" s="1"/>
      <c r="Y32" s="1"/>
      <c r="Z32" s="1"/>
    </row>
    <row r="33" spans="1:26" ht="15.75" thickBot="1">
      <c r="A33" s="3"/>
      <c r="B33" s="35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27" t="s">
        <v>46</v>
      </c>
      <c r="S33" s="30" t="s">
        <v>47</v>
      </c>
      <c r="T33" s="22" t="s">
        <v>46</v>
      </c>
      <c r="U33" s="60"/>
      <c r="V33" s="1"/>
      <c r="W33" s="1"/>
      <c r="X33" s="1"/>
      <c r="Y33" s="1"/>
      <c r="Z33" s="1"/>
    </row>
    <row r="34" spans="1:26" ht="15.75" thickBot="1">
      <c r="A34" s="3"/>
      <c r="B34" s="35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31">
        <f>SUM(R2:R31)</f>
        <v>0</v>
      </c>
      <c r="S34" s="32">
        <f>SUM(S2:S31)</f>
        <v>0</v>
      </c>
      <c r="T34" s="132">
        <f>SUM(T2:T27)</f>
        <v>0</v>
      </c>
      <c r="U34" s="44"/>
      <c r="V34" s="1"/>
      <c r="W34" s="1"/>
      <c r="X34" s="1"/>
      <c r="Y34" s="1"/>
      <c r="Z34" s="1"/>
    </row>
    <row r="35" spans="1:26">
      <c r="A35" s="3"/>
      <c r="B35" s="35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12"/>
      <c r="S35" s="27"/>
      <c r="T35" s="1"/>
      <c r="U35" s="44"/>
      <c r="V35" s="1"/>
      <c r="W35" s="1"/>
      <c r="X35" s="1"/>
      <c r="Y35" s="1"/>
      <c r="Z35" s="1"/>
    </row>
    <row r="36" spans="1:26">
      <c r="A36" s="3"/>
      <c r="B36" s="35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27" t="s">
        <v>1</v>
      </c>
      <c r="S36" s="27"/>
      <c r="T36" s="1"/>
      <c r="U36" s="44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>
        <f>ROUNDUP(R34/3,0)</f>
        <v>0</v>
      </c>
      <c r="S37" s="35"/>
      <c r="T37" s="1"/>
      <c r="U37" s="44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</sheetData>
  <hyperlinks>
    <hyperlink ref="A1" location="'Fuerzas de la Luz'!A1" display="El Hobbit: Fuerzas de la Luz"/>
  </hyperlinks>
  <pageMargins left="0.7" right="0.7" top="0.75" bottom="0.75" header="0.3" footer="0.3"/>
  <ignoredErrors>
    <ignoredError sqref="S25 T11:T12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>
  <dimension ref="A1:AT74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38" width="3.28515625" customWidth="1"/>
    <col min="39" max="41" width="9.7109375" customWidth="1"/>
  </cols>
  <sheetData>
    <row r="1" spans="1:46" ht="170.1" customHeight="1">
      <c r="A1" s="176" t="s">
        <v>225</v>
      </c>
      <c r="B1" s="4" t="s">
        <v>3</v>
      </c>
      <c r="C1" s="5" t="s">
        <v>4</v>
      </c>
      <c r="D1" s="5" t="s">
        <v>226</v>
      </c>
      <c r="E1" s="5" t="s">
        <v>7</v>
      </c>
      <c r="F1" s="5" t="s">
        <v>148</v>
      </c>
      <c r="G1" s="5" t="s">
        <v>227</v>
      </c>
      <c r="H1" s="5" t="s">
        <v>228</v>
      </c>
      <c r="I1" s="5" t="s">
        <v>229</v>
      </c>
      <c r="J1" s="5" t="s">
        <v>230</v>
      </c>
      <c r="K1" s="5" t="s">
        <v>231</v>
      </c>
      <c r="L1" s="5" t="s">
        <v>9</v>
      </c>
      <c r="M1" s="5" t="s">
        <v>10</v>
      </c>
      <c r="N1" s="5" t="s">
        <v>232</v>
      </c>
      <c r="O1" s="5" t="s">
        <v>15</v>
      </c>
      <c r="P1" s="5" t="s">
        <v>11</v>
      </c>
      <c r="Q1" s="5" t="s">
        <v>12</v>
      </c>
      <c r="R1" s="5" t="s">
        <v>233</v>
      </c>
      <c r="S1" s="5" t="s">
        <v>234</v>
      </c>
      <c r="T1" s="5" t="s">
        <v>235</v>
      </c>
      <c r="U1" s="5" t="s">
        <v>236</v>
      </c>
      <c r="V1" s="5" t="s">
        <v>237</v>
      </c>
      <c r="W1" s="5" t="s">
        <v>238</v>
      </c>
      <c r="X1" s="117" t="s">
        <v>239</v>
      </c>
      <c r="Y1" s="117" t="s">
        <v>240</v>
      </c>
      <c r="Z1" s="117" t="s">
        <v>241</v>
      </c>
      <c r="AA1" s="5" t="s">
        <v>242</v>
      </c>
      <c r="AB1" s="5" t="s">
        <v>243</v>
      </c>
      <c r="AC1" s="5" t="s">
        <v>244</v>
      </c>
      <c r="AD1" s="5" t="s">
        <v>245</v>
      </c>
      <c r="AE1" s="5" t="s">
        <v>246</v>
      </c>
      <c r="AF1" s="5" t="s">
        <v>247</v>
      </c>
      <c r="AG1" s="5" t="s">
        <v>248</v>
      </c>
      <c r="AH1" s="5" t="s">
        <v>155</v>
      </c>
      <c r="AI1" s="5" t="s">
        <v>21</v>
      </c>
      <c r="AJ1" s="5" t="s">
        <v>249</v>
      </c>
      <c r="AK1" s="5" t="s">
        <v>156</v>
      </c>
      <c r="AL1" s="5" t="s">
        <v>250</v>
      </c>
      <c r="AM1" s="5" t="s">
        <v>24</v>
      </c>
      <c r="AN1" s="5" t="s">
        <v>0</v>
      </c>
      <c r="AO1" s="5" t="s">
        <v>25</v>
      </c>
      <c r="AP1" s="1"/>
      <c r="AQ1" s="1"/>
      <c r="AR1" s="1"/>
      <c r="AS1" s="1"/>
      <c r="AT1" s="1"/>
    </row>
    <row r="2" spans="1:46">
      <c r="A2" s="6" t="s">
        <v>251</v>
      </c>
      <c r="B2" s="7">
        <v>375</v>
      </c>
      <c r="C2" s="118"/>
      <c r="D2" s="118"/>
      <c r="E2" s="119"/>
      <c r="F2" s="119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0"/>
      <c r="R2" s="119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48"/>
      <c r="AF2" s="118"/>
      <c r="AG2" s="118"/>
      <c r="AH2" s="118"/>
      <c r="AI2" s="118"/>
      <c r="AJ2" s="118"/>
      <c r="AK2" s="118"/>
      <c r="AL2" s="118"/>
      <c r="AM2" s="7"/>
      <c r="AN2" s="12">
        <f>AM2*B2+(75*AE2)</f>
        <v>0</v>
      </c>
      <c r="AO2" s="7">
        <f>3*AM2</f>
        <v>0</v>
      </c>
      <c r="AP2" s="1"/>
      <c r="AQ2" s="1"/>
      <c r="AR2" s="1"/>
      <c r="AS2" s="1"/>
      <c r="AT2" s="1"/>
    </row>
    <row r="3" spans="1:46">
      <c r="A3" s="6" t="s">
        <v>252</v>
      </c>
      <c r="B3" s="7">
        <v>60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69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7"/>
      <c r="AN3" s="12">
        <f>AM3*B3+(15*Q3)</f>
        <v>0</v>
      </c>
      <c r="AO3" s="7">
        <f>1*AM3</f>
        <v>0</v>
      </c>
      <c r="AP3" s="1"/>
      <c r="AQ3" s="1"/>
      <c r="AR3" s="1"/>
      <c r="AS3" s="1"/>
      <c r="AT3" s="1"/>
    </row>
    <row r="4" spans="1:46">
      <c r="A4" s="6" t="s">
        <v>253</v>
      </c>
      <c r="B4" s="7">
        <v>70</v>
      </c>
      <c r="C4" s="118"/>
      <c r="D4" s="118"/>
      <c r="E4" s="119"/>
      <c r="F4" s="119"/>
      <c r="G4" s="119"/>
      <c r="H4" s="118"/>
      <c r="I4" s="118"/>
      <c r="J4" s="118"/>
      <c r="K4" s="118"/>
      <c r="L4" s="118"/>
      <c r="M4" s="118"/>
      <c r="N4" s="118"/>
      <c r="O4" s="118"/>
      <c r="P4" s="118"/>
      <c r="Q4" s="122"/>
      <c r="R4" s="69"/>
      <c r="S4" s="45"/>
      <c r="T4" s="45"/>
      <c r="U4" s="48"/>
      <c r="V4" s="48"/>
      <c r="W4" s="48"/>
      <c r="X4" s="48"/>
      <c r="Y4" s="48"/>
      <c r="Z4" s="4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2"/>
      <c r="AN4" s="12">
        <f>AM4*B4+(15*Q4+50*R4+70*S4+75*T4+30*U4+10*V4+5*W4+5*X4+5*Y4+5*Z4)</f>
        <v>0</v>
      </c>
      <c r="AO4" s="7">
        <f>0*AM4+X4</f>
        <v>0</v>
      </c>
      <c r="AP4" s="1"/>
      <c r="AQ4" s="1"/>
      <c r="AR4" s="1"/>
      <c r="AS4" s="1"/>
      <c r="AT4" s="1"/>
    </row>
    <row r="5" spans="1:46">
      <c r="A5" s="6" t="s">
        <v>254</v>
      </c>
      <c r="B5" s="7">
        <v>55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37"/>
      <c r="Q5" s="121"/>
      <c r="R5" s="37"/>
      <c r="S5" s="37"/>
      <c r="T5" s="37"/>
      <c r="U5" s="121"/>
      <c r="V5" s="121"/>
      <c r="W5" s="121"/>
      <c r="X5" s="37"/>
      <c r="Y5" s="37"/>
      <c r="Z5" s="37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"/>
      <c r="AN5" s="12">
        <f>AM5*B5+(10*P5+50*R5+70*S5+75*T5+5*X5+5*Y5+5*Z5)</f>
        <v>0</v>
      </c>
      <c r="AO5" s="7">
        <f>0*AM5+X5</f>
        <v>0</v>
      </c>
      <c r="AP5" s="1"/>
      <c r="AQ5" s="1"/>
      <c r="AR5" s="1"/>
      <c r="AS5" s="1"/>
      <c r="AT5" s="1"/>
    </row>
    <row r="6" spans="1:46">
      <c r="A6" s="6" t="s">
        <v>255</v>
      </c>
      <c r="B6" s="7">
        <v>0</v>
      </c>
      <c r="C6" s="118"/>
      <c r="D6" s="118"/>
      <c r="E6" s="119"/>
      <c r="F6" s="119"/>
      <c r="G6" s="119"/>
      <c r="H6" s="118"/>
      <c r="I6" s="118"/>
      <c r="J6" s="118"/>
      <c r="K6" s="118"/>
      <c r="L6" s="118"/>
      <c r="M6" s="118"/>
      <c r="N6" s="118"/>
      <c r="O6" s="118"/>
      <c r="P6" s="118"/>
      <c r="Q6" s="120"/>
      <c r="R6" s="119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2"/>
      <c r="AN6" s="12">
        <f>AM6*B6</f>
        <v>0</v>
      </c>
      <c r="AO6" s="7">
        <f>1*AM6</f>
        <v>0</v>
      </c>
      <c r="AP6" s="1"/>
      <c r="AQ6" s="1"/>
      <c r="AR6" s="1"/>
      <c r="AS6" s="1"/>
      <c r="AT6" s="1"/>
    </row>
    <row r="7" spans="1:46">
      <c r="A7" s="6" t="s">
        <v>256</v>
      </c>
      <c r="B7" s="7">
        <v>120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37"/>
      <c r="Q7" s="37"/>
      <c r="R7" s="37"/>
      <c r="S7" s="37"/>
      <c r="T7" s="37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7"/>
      <c r="AN7" s="12">
        <f>AM7*B7+(10*P7+15*Q7+50*R7+70*S7+75*T7)</f>
        <v>0</v>
      </c>
      <c r="AO7" s="7">
        <f>2*AM7</f>
        <v>0</v>
      </c>
      <c r="AP7" s="1"/>
      <c r="AQ7" s="1"/>
      <c r="AR7" s="1"/>
      <c r="AS7" s="1"/>
      <c r="AT7" s="1"/>
    </row>
    <row r="8" spans="1:46">
      <c r="A8" s="6" t="s">
        <v>257</v>
      </c>
      <c r="B8" s="7">
        <v>120</v>
      </c>
      <c r="C8" s="118"/>
      <c r="D8" s="118"/>
      <c r="E8" s="119"/>
      <c r="F8" s="119"/>
      <c r="G8" s="119"/>
      <c r="H8" s="118"/>
      <c r="I8" s="118"/>
      <c r="J8" s="118"/>
      <c r="K8" s="118"/>
      <c r="L8" s="118"/>
      <c r="M8" s="118"/>
      <c r="N8" s="118"/>
      <c r="O8" s="118"/>
      <c r="P8" s="37"/>
      <c r="Q8" s="37"/>
      <c r="R8" s="37"/>
      <c r="S8" s="37"/>
      <c r="T8" s="37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2"/>
      <c r="AN8" s="12">
        <f t="shared" ref="AN8:AN14" si="0">AM8*B8+(10*P8+15*Q8+50*R8+70*S8+75*T8)</f>
        <v>0</v>
      </c>
      <c r="AO8" s="7">
        <f>2*AM8</f>
        <v>0</v>
      </c>
      <c r="AP8" s="1"/>
      <c r="AQ8" s="1"/>
      <c r="AR8" s="1"/>
      <c r="AS8" s="1"/>
      <c r="AT8" s="1"/>
    </row>
    <row r="9" spans="1:46">
      <c r="A9" s="6" t="s">
        <v>258</v>
      </c>
      <c r="B9" s="7">
        <v>120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37"/>
      <c r="Q9" s="37"/>
      <c r="R9" s="37"/>
      <c r="S9" s="37"/>
      <c r="T9" s="37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"/>
      <c r="AN9" s="12">
        <f t="shared" si="0"/>
        <v>0</v>
      </c>
      <c r="AO9" s="7">
        <f>0*AM9</f>
        <v>0</v>
      </c>
      <c r="AP9" s="1"/>
      <c r="AQ9" s="1"/>
      <c r="AR9" s="1"/>
      <c r="AS9" s="1"/>
      <c r="AT9" s="1"/>
    </row>
    <row r="10" spans="1:46">
      <c r="A10" s="6" t="s">
        <v>259</v>
      </c>
      <c r="B10" s="7">
        <v>120</v>
      </c>
      <c r="C10" s="118"/>
      <c r="D10" s="118"/>
      <c r="E10" s="119"/>
      <c r="F10" s="119"/>
      <c r="G10" s="119"/>
      <c r="H10" s="118"/>
      <c r="I10" s="118"/>
      <c r="J10" s="118"/>
      <c r="K10" s="118"/>
      <c r="L10" s="118"/>
      <c r="M10" s="118"/>
      <c r="N10" s="118"/>
      <c r="O10" s="118"/>
      <c r="P10" s="37"/>
      <c r="Q10" s="37"/>
      <c r="R10" s="37"/>
      <c r="S10" s="37"/>
      <c r="T10" s="37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7"/>
      <c r="AN10" s="12">
        <f t="shared" si="0"/>
        <v>0</v>
      </c>
      <c r="AO10" s="7">
        <f>2*AM10</f>
        <v>0</v>
      </c>
      <c r="AP10" s="1"/>
      <c r="AQ10" s="1"/>
      <c r="AR10" s="1"/>
      <c r="AS10" s="1"/>
      <c r="AT10" s="1"/>
    </row>
    <row r="11" spans="1:46">
      <c r="A11" s="6" t="s">
        <v>260</v>
      </c>
      <c r="B11" s="7">
        <v>120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37"/>
      <c r="Q11" s="37"/>
      <c r="R11" s="37"/>
      <c r="S11" s="37"/>
      <c r="T11" s="37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7"/>
      <c r="AN11" s="12">
        <f t="shared" si="0"/>
        <v>0</v>
      </c>
      <c r="AO11" s="7">
        <f>3*AM11</f>
        <v>0</v>
      </c>
      <c r="AP11" s="1"/>
      <c r="AQ11" s="1"/>
      <c r="AR11" s="1"/>
      <c r="AS11" s="1"/>
      <c r="AT11" s="1"/>
    </row>
    <row r="12" spans="1:46">
      <c r="A12" s="6" t="s">
        <v>261</v>
      </c>
      <c r="B12" s="7">
        <v>120</v>
      </c>
      <c r="C12" s="118"/>
      <c r="D12" s="118"/>
      <c r="E12" s="119"/>
      <c r="F12" s="119"/>
      <c r="G12" s="119"/>
      <c r="H12" s="118"/>
      <c r="I12" s="118"/>
      <c r="J12" s="118"/>
      <c r="K12" s="118"/>
      <c r="L12" s="118"/>
      <c r="M12" s="118"/>
      <c r="N12" s="118"/>
      <c r="O12" s="118"/>
      <c r="P12" s="37"/>
      <c r="Q12" s="37"/>
      <c r="R12" s="37"/>
      <c r="S12" s="37"/>
      <c r="T12" s="37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7"/>
      <c r="AN12" s="12">
        <f t="shared" si="0"/>
        <v>0</v>
      </c>
      <c r="AO12" s="7">
        <f>2*AM12</f>
        <v>0</v>
      </c>
      <c r="AP12" s="1"/>
      <c r="AQ12" s="1"/>
      <c r="AR12" s="1"/>
      <c r="AS12" s="1"/>
      <c r="AT12" s="1"/>
    </row>
    <row r="13" spans="1:46">
      <c r="A13" s="6" t="s">
        <v>262</v>
      </c>
      <c r="B13" s="7">
        <v>120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37"/>
      <c r="Q13" s="37"/>
      <c r="R13" s="37"/>
      <c r="S13" s="37"/>
      <c r="T13" s="37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"/>
      <c r="AN13" s="12">
        <f t="shared" si="0"/>
        <v>0</v>
      </c>
      <c r="AO13" s="7">
        <f>1*AM13</f>
        <v>0</v>
      </c>
      <c r="AP13" s="1"/>
      <c r="AQ13" s="1"/>
      <c r="AR13" s="1"/>
      <c r="AS13" s="1"/>
      <c r="AT13" s="1"/>
    </row>
    <row r="14" spans="1:46">
      <c r="A14" s="6" t="s">
        <v>263</v>
      </c>
      <c r="B14" s="7">
        <v>120</v>
      </c>
      <c r="C14" s="118"/>
      <c r="D14" s="118"/>
      <c r="E14" s="119"/>
      <c r="F14" s="119"/>
      <c r="G14" s="119"/>
      <c r="H14" s="118"/>
      <c r="I14" s="118"/>
      <c r="J14" s="118"/>
      <c r="K14" s="118"/>
      <c r="L14" s="118"/>
      <c r="M14" s="118"/>
      <c r="N14" s="118"/>
      <c r="O14" s="118"/>
      <c r="P14" s="37"/>
      <c r="Q14" s="37"/>
      <c r="R14" s="37"/>
      <c r="S14" s="37"/>
      <c r="T14" s="37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7"/>
      <c r="AN14" s="12">
        <f t="shared" si="0"/>
        <v>0</v>
      </c>
      <c r="AO14" s="7">
        <f>2*AM14</f>
        <v>0</v>
      </c>
      <c r="AP14" s="1"/>
      <c r="AQ14" s="1"/>
      <c r="AR14" s="1"/>
      <c r="AS14" s="1"/>
      <c r="AT14" s="1"/>
    </row>
    <row r="15" spans="1:46">
      <c r="A15" s="6" t="s">
        <v>264</v>
      </c>
      <c r="B15" s="19">
        <v>135</v>
      </c>
      <c r="C15" s="37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37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7"/>
      <c r="AN15" s="12">
        <f>AM15*B15+(5*C15+10*N15)</f>
        <v>0</v>
      </c>
      <c r="AO15" s="7">
        <f>3*AM15</f>
        <v>0</v>
      </c>
      <c r="AP15" s="1"/>
      <c r="AQ15" s="1"/>
      <c r="AR15" s="1"/>
      <c r="AS15" s="1"/>
      <c r="AT15" s="1"/>
    </row>
    <row r="16" spans="1:46">
      <c r="A16" s="6" t="s">
        <v>265</v>
      </c>
      <c r="B16" s="7">
        <v>90</v>
      </c>
      <c r="C16" s="118"/>
      <c r="D16" s="118"/>
      <c r="E16" s="119"/>
      <c r="F16" s="119"/>
      <c r="G16" s="119"/>
      <c r="H16" s="118"/>
      <c r="I16" s="118"/>
      <c r="J16" s="118"/>
      <c r="K16" s="118"/>
      <c r="L16" s="118"/>
      <c r="M16" s="118"/>
      <c r="N16" s="118"/>
      <c r="O16" s="118"/>
      <c r="P16" s="118"/>
      <c r="Q16" s="120"/>
      <c r="R16" s="119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2"/>
      <c r="AN16" s="12">
        <f>AM16*B16</f>
        <v>0</v>
      </c>
      <c r="AO16" s="7">
        <f>0*AM16</f>
        <v>0</v>
      </c>
      <c r="AP16" s="1"/>
      <c r="AQ16" s="1"/>
      <c r="AR16" s="1"/>
      <c r="AS16" s="1"/>
      <c r="AT16" s="1"/>
    </row>
    <row r="17" spans="1:46">
      <c r="A17" s="6" t="s">
        <v>266</v>
      </c>
      <c r="B17" s="7">
        <v>110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"/>
      <c r="AN17" s="12">
        <f>AM17*B17</f>
        <v>0</v>
      </c>
      <c r="AO17" s="7">
        <f>3*AM17</f>
        <v>0</v>
      </c>
      <c r="AP17" s="1"/>
      <c r="AQ17" s="1"/>
      <c r="AR17" s="1"/>
      <c r="AS17" s="1"/>
      <c r="AT17" s="1"/>
    </row>
    <row r="18" spans="1:46">
      <c r="A18" s="23" t="s">
        <v>267</v>
      </c>
      <c r="B18" s="19">
        <v>55</v>
      </c>
      <c r="C18" s="48"/>
      <c r="D18" s="118"/>
      <c r="E18" s="119"/>
      <c r="F18" s="119"/>
      <c r="G18" s="119"/>
      <c r="H18" s="118"/>
      <c r="I18" s="118"/>
      <c r="J18" s="118"/>
      <c r="K18" s="118"/>
      <c r="L18" s="118"/>
      <c r="M18" s="118"/>
      <c r="N18" s="118"/>
      <c r="O18" s="118"/>
      <c r="P18" s="118"/>
      <c r="Q18" s="120"/>
      <c r="R18" s="119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9"/>
      <c r="AN18" s="12">
        <f>AM18*B18+(5*C18)</f>
        <v>0</v>
      </c>
      <c r="AO18" s="7">
        <f t="shared" ref="AO18:AO20" si="1">3*AM18</f>
        <v>0</v>
      </c>
      <c r="AP18" s="1"/>
      <c r="AQ18" s="1"/>
      <c r="AR18" s="1"/>
      <c r="AS18" s="1"/>
      <c r="AT18" s="1"/>
    </row>
    <row r="19" spans="1:46">
      <c r="A19" s="23" t="s">
        <v>268</v>
      </c>
      <c r="B19" s="19">
        <v>45</v>
      </c>
      <c r="C19" s="37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7"/>
      <c r="AN19" s="12">
        <f t="shared" ref="AN19:AN20" si="2">AM19*B19+(5*C19)</f>
        <v>0</v>
      </c>
      <c r="AO19" s="7">
        <f t="shared" si="1"/>
        <v>0</v>
      </c>
      <c r="AP19" s="1"/>
      <c r="AQ19" s="1"/>
      <c r="AR19" s="1"/>
      <c r="AS19" s="1"/>
      <c r="AT19" s="1"/>
    </row>
    <row r="20" spans="1:46">
      <c r="A20" s="23" t="s">
        <v>269</v>
      </c>
      <c r="B20" s="19">
        <v>45</v>
      </c>
      <c r="C20" s="48"/>
      <c r="D20" s="118"/>
      <c r="E20" s="119"/>
      <c r="F20" s="119"/>
      <c r="G20" s="119"/>
      <c r="H20" s="118"/>
      <c r="I20" s="118"/>
      <c r="J20" s="118"/>
      <c r="K20" s="118"/>
      <c r="L20" s="118"/>
      <c r="M20" s="118"/>
      <c r="N20" s="118"/>
      <c r="O20" s="118"/>
      <c r="P20" s="118"/>
      <c r="Q20" s="120"/>
      <c r="R20" s="119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7"/>
      <c r="AN20" s="12">
        <f t="shared" si="2"/>
        <v>0</v>
      </c>
      <c r="AO20" s="7">
        <f t="shared" si="1"/>
        <v>0</v>
      </c>
      <c r="AP20" s="1"/>
      <c r="AQ20" s="1"/>
      <c r="AR20" s="1"/>
      <c r="AS20" s="1"/>
      <c r="AT20" s="1"/>
    </row>
    <row r="21" spans="1:46">
      <c r="A21" s="34" t="s">
        <v>270</v>
      </c>
      <c r="B21" s="12">
        <v>40</v>
      </c>
      <c r="C21" s="100"/>
      <c r="D21" s="37"/>
      <c r="E21" s="121"/>
      <c r="F21" s="121"/>
      <c r="G21" s="121"/>
      <c r="H21" s="121"/>
      <c r="I21" s="37"/>
      <c r="J21" s="121"/>
      <c r="K21" s="121"/>
      <c r="L21" s="121"/>
      <c r="M21" s="121"/>
      <c r="N21" s="37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7"/>
      <c r="AN21" s="12">
        <f>AM21*B21+(5*C21+5*D21+5*I21+10*N21)</f>
        <v>0</v>
      </c>
      <c r="AO21" s="7">
        <f t="shared" ref="AO21" si="3">2*AM21</f>
        <v>0</v>
      </c>
      <c r="AP21" s="1"/>
      <c r="AQ21" s="1"/>
      <c r="AR21" s="1"/>
      <c r="AS21" s="1"/>
      <c r="AT21" s="1"/>
    </row>
    <row r="22" spans="1:46">
      <c r="A22" s="34" t="s">
        <v>271</v>
      </c>
      <c r="B22" s="12">
        <v>60</v>
      </c>
      <c r="C22" s="118"/>
      <c r="D22" s="118"/>
      <c r="E22" s="119"/>
      <c r="F22" s="119"/>
      <c r="G22" s="119"/>
      <c r="H22" s="118"/>
      <c r="I22" s="118"/>
      <c r="J22" s="118"/>
      <c r="K22" s="118"/>
      <c r="L22" s="118"/>
      <c r="M22" s="118"/>
      <c r="N22" s="118"/>
      <c r="O22" s="118"/>
      <c r="P22" s="118"/>
      <c r="Q22" s="120"/>
      <c r="R22" s="119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7"/>
      <c r="AN22" s="12">
        <f t="shared" ref="AN22" si="4">AM22*B22+(5*C22+10*N22)</f>
        <v>0</v>
      </c>
      <c r="AO22" s="7">
        <f>1*AM22</f>
        <v>0</v>
      </c>
      <c r="AP22" s="1"/>
      <c r="AQ22" s="1"/>
      <c r="AR22" s="1"/>
      <c r="AS22" s="1"/>
      <c r="AT22" s="1"/>
    </row>
    <row r="23" spans="1:46">
      <c r="A23" s="34" t="s">
        <v>272</v>
      </c>
      <c r="B23" s="12">
        <v>50</v>
      </c>
      <c r="C23" s="121"/>
      <c r="D23" s="121"/>
      <c r="E23" s="121"/>
      <c r="F23" s="121"/>
      <c r="G23" s="121"/>
      <c r="H23" s="121"/>
      <c r="I23" s="121"/>
      <c r="J23" s="37"/>
      <c r="K23" s="121"/>
      <c r="L23" s="121"/>
      <c r="M23" s="121"/>
      <c r="N23" s="37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7"/>
      <c r="AN23" s="12">
        <f>AM23*B23+(5*J23+10*N23)</f>
        <v>0</v>
      </c>
      <c r="AO23" s="7">
        <f>1*AM23</f>
        <v>0</v>
      </c>
      <c r="AP23" s="1"/>
      <c r="AQ23" s="1"/>
      <c r="AR23" s="1"/>
      <c r="AS23" s="1"/>
      <c r="AT23" s="1"/>
    </row>
    <row r="24" spans="1:46">
      <c r="A24" s="34" t="s">
        <v>273</v>
      </c>
      <c r="B24" s="12">
        <v>45</v>
      </c>
      <c r="C24" s="48"/>
      <c r="D24" s="118"/>
      <c r="E24" s="119"/>
      <c r="F24" s="37"/>
      <c r="G24" s="119"/>
      <c r="H24" s="118"/>
      <c r="I24" s="118"/>
      <c r="J24" s="118"/>
      <c r="K24" s="118"/>
      <c r="L24" s="118"/>
      <c r="M24" s="118"/>
      <c r="N24" s="118"/>
      <c r="O24" s="118"/>
      <c r="P24" s="118"/>
      <c r="Q24" s="120"/>
      <c r="R24" s="119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7"/>
      <c r="AN24" s="12">
        <f>AM24*B24+(5*C24+5*F24)</f>
        <v>0</v>
      </c>
      <c r="AO24" s="7">
        <f>2*AM24</f>
        <v>0</v>
      </c>
      <c r="AP24" s="1"/>
      <c r="AQ24" s="1"/>
      <c r="AR24" s="1"/>
      <c r="AS24" s="1"/>
      <c r="AT24" s="1"/>
    </row>
    <row r="25" spans="1:46">
      <c r="A25" s="34" t="s">
        <v>274</v>
      </c>
      <c r="B25" s="12">
        <v>60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7"/>
      <c r="AN25" s="12">
        <f>AM25*B25</f>
        <v>0</v>
      </c>
      <c r="AO25" s="7">
        <f t="shared" ref="AO25" si="5">2*AM25</f>
        <v>0</v>
      </c>
      <c r="AP25" s="1"/>
      <c r="AQ25" s="1"/>
      <c r="AR25" s="1"/>
      <c r="AS25" s="1"/>
      <c r="AT25" s="1"/>
    </row>
    <row r="26" spans="1:46">
      <c r="A26" s="34" t="s">
        <v>275</v>
      </c>
      <c r="B26" s="19">
        <v>45</v>
      </c>
      <c r="C26" s="118"/>
      <c r="D26" s="118"/>
      <c r="E26" s="119"/>
      <c r="F26" s="119"/>
      <c r="G26" s="119"/>
      <c r="H26" s="118"/>
      <c r="I26" s="118"/>
      <c r="J26" s="118"/>
      <c r="K26" s="118"/>
      <c r="L26" s="118"/>
      <c r="M26" s="118"/>
      <c r="N26" s="118"/>
      <c r="O26" s="118"/>
      <c r="P26" s="118"/>
      <c r="Q26" s="120"/>
      <c r="R26" s="119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7"/>
      <c r="AN26" s="12">
        <f t="shared" ref="AN26:AN27" si="6">AM26*B26</f>
        <v>0</v>
      </c>
      <c r="AO26" s="7">
        <f>0*AM26</f>
        <v>0</v>
      </c>
      <c r="AP26" s="1"/>
      <c r="AQ26" s="1"/>
      <c r="AR26" s="1"/>
      <c r="AS26" s="1"/>
      <c r="AT26" s="1"/>
    </row>
    <row r="27" spans="1:46">
      <c r="A27" s="6" t="s">
        <v>276</v>
      </c>
      <c r="B27" s="7">
        <v>40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7"/>
      <c r="AN27" s="12">
        <f t="shared" si="6"/>
        <v>0</v>
      </c>
      <c r="AO27" s="7">
        <f>0*AM27</f>
        <v>0</v>
      </c>
      <c r="AP27" s="1"/>
      <c r="AQ27" s="1"/>
      <c r="AR27" s="1"/>
      <c r="AS27" s="1"/>
      <c r="AT27" s="1"/>
    </row>
    <row r="28" spans="1:46">
      <c r="A28" s="6" t="s">
        <v>277</v>
      </c>
      <c r="B28" s="7">
        <v>40</v>
      </c>
      <c r="C28" s="118"/>
      <c r="D28" s="118"/>
      <c r="E28" s="119"/>
      <c r="F28" s="119"/>
      <c r="G28" s="119"/>
      <c r="H28" s="118"/>
      <c r="I28" s="118"/>
      <c r="J28" s="118"/>
      <c r="K28" s="118"/>
      <c r="L28" s="118"/>
      <c r="M28" s="118"/>
      <c r="N28" s="118"/>
      <c r="O28" s="118"/>
      <c r="P28" s="118"/>
      <c r="Q28" s="120"/>
      <c r="R28" s="119"/>
      <c r="S28" s="118"/>
      <c r="T28" s="118"/>
      <c r="U28" s="118"/>
      <c r="V28" s="4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2"/>
      <c r="AN28" s="12">
        <f>AM28*B28+(5*V28)</f>
        <v>0</v>
      </c>
      <c r="AO28" s="7">
        <f>0*AM28</f>
        <v>0</v>
      </c>
      <c r="AP28" s="1"/>
      <c r="AQ28" s="1"/>
      <c r="AR28" s="1"/>
      <c r="AS28" s="1"/>
      <c r="AT28" s="1"/>
    </row>
    <row r="29" spans="1:46">
      <c r="A29" s="34" t="s">
        <v>278</v>
      </c>
      <c r="B29" s="12">
        <v>60</v>
      </c>
      <c r="C29" s="69"/>
      <c r="D29" s="121"/>
      <c r="E29" s="121"/>
      <c r="F29" s="69"/>
      <c r="G29" s="121"/>
      <c r="H29" s="121"/>
      <c r="I29" s="121"/>
      <c r="J29" s="121"/>
      <c r="K29" s="121"/>
      <c r="L29" s="121"/>
      <c r="M29" s="121"/>
      <c r="N29" s="121"/>
      <c r="O29" s="37"/>
      <c r="P29" s="121"/>
      <c r="Q29" s="37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9"/>
      <c r="AN29" s="12">
        <f>AM29*B29+(5*C29+5*F29+5*O29+10*Q29)</f>
        <v>0</v>
      </c>
      <c r="AO29" s="7">
        <f t="shared" ref="AO29:AO32" si="7">2*AM29</f>
        <v>0</v>
      </c>
      <c r="AP29" s="1"/>
      <c r="AQ29" s="1"/>
      <c r="AR29" s="1"/>
      <c r="AS29" s="1"/>
      <c r="AT29" s="1"/>
    </row>
    <row r="30" spans="1:46">
      <c r="A30" s="34" t="s">
        <v>279</v>
      </c>
      <c r="B30" s="12">
        <v>50</v>
      </c>
      <c r="C30" s="48"/>
      <c r="D30" s="48"/>
      <c r="E30" s="119"/>
      <c r="F30" s="37"/>
      <c r="G30" s="119"/>
      <c r="H30" s="118"/>
      <c r="I30" s="118"/>
      <c r="J30" s="118"/>
      <c r="K30" s="118"/>
      <c r="L30" s="118"/>
      <c r="M30" s="118"/>
      <c r="N30" s="118"/>
      <c r="O30" s="118"/>
      <c r="P30" s="118"/>
      <c r="Q30" s="120"/>
      <c r="R30" s="119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9"/>
      <c r="AN30" s="12">
        <f>AM30*B30+(5*C30+5*D30+5*F30)</f>
        <v>0</v>
      </c>
      <c r="AO30" s="7">
        <f t="shared" si="7"/>
        <v>0</v>
      </c>
      <c r="AP30" s="1"/>
      <c r="AQ30" s="1"/>
      <c r="AR30" s="1"/>
      <c r="AS30" s="1"/>
      <c r="AT30" s="1"/>
    </row>
    <row r="31" spans="1:46">
      <c r="A31" s="34" t="s">
        <v>280</v>
      </c>
      <c r="B31" s="12">
        <v>60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9"/>
      <c r="AN31" s="12">
        <f>AM31*B31</f>
        <v>0</v>
      </c>
      <c r="AO31" s="7">
        <f t="shared" si="7"/>
        <v>0</v>
      </c>
      <c r="AP31" s="1"/>
      <c r="AQ31" s="1"/>
      <c r="AR31" s="1"/>
      <c r="AS31" s="1"/>
      <c r="AT31" s="1"/>
    </row>
    <row r="32" spans="1:46">
      <c r="A32" s="34" t="s">
        <v>281</v>
      </c>
      <c r="B32" s="12">
        <v>115</v>
      </c>
      <c r="C32" s="118"/>
      <c r="D32" s="118"/>
      <c r="E32" s="119"/>
      <c r="F32" s="119"/>
      <c r="G32" s="119"/>
      <c r="H32" s="118"/>
      <c r="I32" s="118"/>
      <c r="J32" s="118"/>
      <c r="K32" s="118"/>
      <c r="L32" s="118"/>
      <c r="M32" s="118"/>
      <c r="N32" s="118"/>
      <c r="O32" s="118"/>
      <c r="P32" s="118"/>
      <c r="Q32" s="120"/>
      <c r="R32" s="119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9"/>
      <c r="AN32" s="12">
        <f>AM32*B32</f>
        <v>0</v>
      </c>
      <c r="AO32" s="7">
        <f t="shared" si="7"/>
        <v>0</v>
      </c>
      <c r="AP32" s="1"/>
      <c r="AQ32" s="1"/>
      <c r="AR32" s="1"/>
      <c r="AS32" s="1"/>
      <c r="AT32" s="1"/>
    </row>
    <row r="33" spans="1:46">
      <c r="A33" s="34" t="s">
        <v>282</v>
      </c>
      <c r="B33" s="12">
        <v>250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37"/>
      <c r="AB33" s="37"/>
      <c r="AC33" s="37"/>
      <c r="AD33" s="37"/>
      <c r="AE33" s="121"/>
      <c r="AF33" s="121"/>
      <c r="AG33" s="121"/>
      <c r="AH33" s="121"/>
      <c r="AI33" s="121"/>
      <c r="AJ33" s="121"/>
      <c r="AK33" s="121"/>
      <c r="AL33" s="121"/>
      <c r="AM33" s="19"/>
      <c r="AN33" s="12">
        <f>AM33*B33+(50*AA33+50*AB33+50*AC33+50*AD33)</f>
        <v>0</v>
      </c>
      <c r="AO33" s="7">
        <f>3*AM33</f>
        <v>0</v>
      </c>
      <c r="AP33" s="1"/>
      <c r="AQ33" s="1"/>
      <c r="AR33" s="1"/>
      <c r="AS33" s="1"/>
      <c r="AT33" s="1"/>
    </row>
    <row r="34" spans="1:46">
      <c r="A34" s="34" t="s">
        <v>283</v>
      </c>
      <c r="B34" s="12">
        <v>175</v>
      </c>
      <c r="C34" s="118"/>
      <c r="D34" s="118"/>
      <c r="E34" s="119"/>
      <c r="F34" s="119"/>
      <c r="G34" s="119"/>
      <c r="H34" s="118"/>
      <c r="I34" s="118"/>
      <c r="J34" s="118"/>
      <c r="K34" s="118"/>
      <c r="L34" s="118"/>
      <c r="M34" s="118"/>
      <c r="N34" s="118"/>
      <c r="O34" s="118"/>
      <c r="P34" s="118"/>
      <c r="Q34" s="120"/>
      <c r="R34" s="119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9"/>
      <c r="AN34" s="12">
        <f>AM34*B34</f>
        <v>0</v>
      </c>
      <c r="AO34" s="7">
        <f>1*AM34</f>
        <v>0</v>
      </c>
      <c r="AP34" s="1"/>
      <c r="AQ34" s="1"/>
      <c r="AR34" s="1"/>
      <c r="AS34" s="1"/>
      <c r="AT34" s="1"/>
    </row>
    <row r="35" spans="1:46">
      <c r="A35" s="34" t="s">
        <v>284</v>
      </c>
      <c r="B35" s="12">
        <v>250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34"/>
      <c r="AN35" s="12">
        <f t="shared" ref="AN35:AN36" si="8">AM35*B35</f>
        <v>0</v>
      </c>
      <c r="AO35" s="7">
        <f>3*AM35</f>
        <v>0</v>
      </c>
      <c r="AP35" s="1"/>
      <c r="AQ35" s="1"/>
      <c r="AR35" s="1"/>
      <c r="AS35" s="1"/>
      <c r="AT35" s="1"/>
    </row>
    <row r="36" spans="1:46">
      <c r="A36" s="34" t="s">
        <v>285</v>
      </c>
      <c r="B36" s="12">
        <v>140</v>
      </c>
      <c r="C36" s="118"/>
      <c r="D36" s="118"/>
      <c r="E36" s="119"/>
      <c r="F36" s="119"/>
      <c r="G36" s="119"/>
      <c r="H36" s="118"/>
      <c r="I36" s="118"/>
      <c r="J36" s="118"/>
      <c r="K36" s="118"/>
      <c r="L36" s="118"/>
      <c r="M36" s="118"/>
      <c r="N36" s="118"/>
      <c r="O36" s="118"/>
      <c r="P36" s="118"/>
      <c r="Q36" s="120"/>
      <c r="R36" s="119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34"/>
      <c r="AN36" s="12">
        <f t="shared" si="8"/>
        <v>0</v>
      </c>
      <c r="AO36" s="7">
        <f t="shared" ref="AO36" si="9">2*AM36</f>
        <v>0</v>
      </c>
      <c r="AP36" s="1"/>
      <c r="AQ36" s="1"/>
      <c r="AR36" s="1"/>
      <c r="AS36" s="1"/>
      <c r="AT36" s="1"/>
    </row>
    <row r="37" spans="1:46">
      <c r="A37" s="34" t="s">
        <v>286</v>
      </c>
      <c r="B37" s="12">
        <v>5</v>
      </c>
      <c r="C37" s="37"/>
      <c r="D37" s="37"/>
      <c r="E37" s="37"/>
      <c r="F37" s="37"/>
      <c r="G37" s="121"/>
      <c r="H37" s="37"/>
      <c r="I37" s="121"/>
      <c r="J37" s="121"/>
      <c r="K37" s="121"/>
      <c r="L37" s="121"/>
      <c r="M37" s="37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34"/>
      <c r="AN37" s="12">
        <f>AM37*B37+(1*C37+1*D37+1*E37+1*F37+2*H37+25*M37)</f>
        <v>0</v>
      </c>
      <c r="AO37" s="27"/>
      <c r="AP37" s="1"/>
      <c r="AQ37" s="1"/>
      <c r="AR37" s="1"/>
      <c r="AS37" s="1"/>
      <c r="AT37" s="1"/>
    </row>
    <row r="38" spans="1:46">
      <c r="A38" s="34" t="s">
        <v>287</v>
      </c>
      <c r="B38" s="12">
        <v>5</v>
      </c>
      <c r="C38" s="118"/>
      <c r="D38" s="118"/>
      <c r="E38" s="119"/>
      <c r="F38" s="119"/>
      <c r="G38" s="119"/>
      <c r="H38" s="118"/>
      <c r="I38" s="118"/>
      <c r="J38" s="118"/>
      <c r="K38" s="118"/>
      <c r="L38" s="118"/>
      <c r="M38" s="118"/>
      <c r="N38" s="48"/>
      <c r="O38" s="118"/>
      <c r="P38" s="118"/>
      <c r="Q38" s="120"/>
      <c r="R38" s="119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34"/>
      <c r="AN38" s="12">
        <f>AM38*B38+(6*N38)</f>
        <v>0</v>
      </c>
      <c r="AO38" s="27"/>
      <c r="AP38" s="1"/>
      <c r="AQ38" s="1"/>
      <c r="AR38" s="1"/>
      <c r="AS38" s="1"/>
      <c r="AT38" s="1"/>
    </row>
    <row r="39" spans="1:46">
      <c r="A39" s="34" t="s">
        <v>288</v>
      </c>
      <c r="B39" s="12">
        <v>12</v>
      </c>
      <c r="C39" s="69"/>
      <c r="D39" s="69"/>
      <c r="E39" s="121"/>
      <c r="F39" s="121"/>
      <c r="G39" s="37"/>
      <c r="H39" s="121"/>
      <c r="I39" s="121"/>
      <c r="J39" s="121"/>
      <c r="K39" s="121"/>
      <c r="L39" s="121"/>
      <c r="M39" s="69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34"/>
      <c r="AN39" s="12">
        <f>AM39*B39+(1*C39+1*D39+2*G39+25*M39)</f>
        <v>0</v>
      </c>
      <c r="AO39" s="27"/>
      <c r="AP39" s="1"/>
      <c r="AQ39" s="1"/>
      <c r="AR39" s="1"/>
      <c r="AS39" s="1"/>
      <c r="AT39" s="1"/>
    </row>
    <row r="40" spans="1:46">
      <c r="A40" s="34" t="s">
        <v>289</v>
      </c>
      <c r="B40" s="12">
        <v>8</v>
      </c>
      <c r="C40" s="45"/>
      <c r="D40" s="48"/>
      <c r="E40" s="119"/>
      <c r="F40" s="37"/>
      <c r="G40" s="119"/>
      <c r="H40" s="118"/>
      <c r="I40" s="118"/>
      <c r="J40" s="118"/>
      <c r="K40" s="118"/>
      <c r="L40" s="118"/>
      <c r="M40" s="45"/>
      <c r="N40" s="118"/>
      <c r="O40" s="118"/>
      <c r="P40" s="118"/>
      <c r="Q40" s="120"/>
      <c r="R40" s="119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34"/>
      <c r="AN40" s="12">
        <f>AM40*B40+(1*C40+1*D40+1*F40+25*M40)</f>
        <v>0</v>
      </c>
      <c r="AO40" s="27"/>
      <c r="AP40" s="1"/>
      <c r="AQ40" s="1"/>
      <c r="AR40" s="1"/>
      <c r="AS40" s="1"/>
      <c r="AT40" s="1"/>
    </row>
    <row r="41" spans="1:46">
      <c r="A41" s="34" t="s">
        <v>290</v>
      </c>
      <c r="B41" s="12">
        <v>7</v>
      </c>
      <c r="C41" s="37"/>
      <c r="D41" s="121"/>
      <c r="E41" s="37"/>
      <c r="F41" s="121"/>
      <c r="G41" s="121"/>
      <c r="H41" s="121"/>
      <c r="I41" s="121"/>
      <c r="J41" s="121"/>
      <c r="K41" s="121"/>
      <c r="L41" s="121"/>
      <c r="M41" s="37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34"/>
      <c r="AN41" s="12">
        <f>AM41*B41+(1*C41+1*E41+25*M41)</f>
        <v>0</v>
      </c>
      <c r="AO41" s="27"/>
      <c r="AP41" s="1"/>
      <c r="AQ41" s="1"/>
      <c r="AR41" s="1"/>
      <c r="AS41" s="1"/>
      <c r="AT41" s="1"/>
    </row>
    <row r="42" spans="1:46">
      <c r="A42" s="34" t="s">
        <v>291</v>
      </c>
      <c r="B42" s="12">
        <v>15</v>
      </c>
      <c r="C42" s="118"/>
      <c r="D42" s="118"/>
      <c r="E42" s="119"/>
      <c r="F42" s="119"/>
      <c r="G42" s="119"/>
      <c r="H42" s="118"/>
      <c r="I42" s="118"/>
      <c r="J42" s="118"/>
      <c r="K42" s="118"/>
      <c r="L42" s="118"/>
      <c r="M42" s="118"/>
      <c r="N42" s="118"/>
      <c r="O42" s="118"/>
      <c r="P42" s="118"/>
      <c r="Q42" s="120"/>
      <c r="R42" s="119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34"/>
      <c r="AN42" s="12">
        <f>AM42*B42</f>
        <v>0</v>
      </c>
      <c r="AO42" s="27"/>
      <c r="AP42" s="1"/>
      <c r="AQ42" s="1"/>
      <c r="AR42" s="1"/>
      <c r="AS42" s="1"/>
      <c r="AT42" s="1"/>
    </row>
    <row r="43" spans="1:46">
      <c r="A43" s="34" t="s">
        <v>292</v>
      </c>
      <c r="B43" s="12">
        <v>20</v>
      </c>
      <c r="C43" s="121"/>
      <c r="D43" s="121"/>
      <c r="E43" s="121"/>
      <c r="F43" s="121"/>
      <c r="G43" s="121"/>
      <c r="H43" s="121"/>
      <c r="I43" s="121"/>
      <c r="J43" s="121"/>
      <c r="K43" s="121"/>
      <c r="L43" s="37"/>
      <c r="M43" s="37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34"/>
      <c r="AN43" s="12">
        <f>AM43*B43+(20*L43+25*M43)</f>
        <v>0</v>
      </c>
      <c r="AO43" s="27"/>
      <c r="AP43" s="1"/>
      <c r="AQ43" s="1"/>
      <c r="AR43" s="1"/>
      <c r="AS43" s="1"/>
      <c r="AT43" s="1"/>
    </row>
    <row r="44" spans="1:46">
      <c r="A44" s="34" t="s">
        <v>293</v>
      </c>
      <c r="B44" s="12">
        <v>9</v>
      </c>
      <c r="C44" s="118"/>
      <c r="D44" s="118"/>
      <c r="E44" s="119"/>
      <c r="F44" s="119"/>
      <c r="G44" s="119"/>
      <c r="H44" s="118"/>
      <c r="I44" s="118"/>
      <c r="J44" s="118"/>
      <c r="K44" s="118"/>
      <c r="L44" s="48"/>
      <c r="M44" s="48"/>
      <c r="N44" s="118"/>
      <c r="O44" s="118"/>
      <c r="P44" s="118"/>
      <c r="Q44" s="120"/>
      <c r="R44" s="119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34"/>
      <c r="AN44" s="12">
        <f>AM44*B44+(20*L44+25*M44)</f>
        <v>0</v>
      </c>
      <c r="AO44" s="27"/>
      <c r="AP44" s="1"/>
      <c r="AQ44" s="1"/>
      <c r="AR44" s="1"/>
      <c r="AS44" s="1"/>
      <c r="AT44" s="1"/>
    </row>
    <row r="45" spans="1:46">
      <c r="A45" s="34" t="s">
        <v>294</v>
      </c>
      <c r="B45" s="12">
        <v>20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34"/>
      <c r="AN45" s="12">
        <f>AM45*B45</f>
        <v>0</v>
      </c>
      <c r="AO45" s="27"/>
      <c r="AP45" s="1"/>
      <c r="AQ45" s="1"/>
      <c r="AR45" s="1"/>
      <c r="AS45" s="1"/>
      <c r="AT45" s="1"/>
    </row>
    <row r="46" spans="1:46">
      <c r="A46" s="34" t="s">
        <v>295</v>
      </c>
      <c r="B46" s="12">
        <v>12</v>
      </c>
      <c r="C46" s="118"/>
      <c r="D46" s="118"/>
      <c r="E46" s="119"/>
      <c r="F46" s="119"/>
      <c r="G46" s="119"/>
      <c r="H46" s="118"/>
      <c r="I46" s="118"/>
      <c r="J46" s="118"/>
      <c r="K46" s="118"/>
      <c r="L46" s="118"/>
      <c r="M46" s="48"/>
      <c r="N46" s="118"/>
      <c r="O46" s="118"/>
      <c r="P46" s="118"/>
      <c r="Q46" s="120"/>
      <c r="R46" s="119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34"/>
      <c r="AN46" s="12">
        <f>AM46*B46+(25*M46)</f>
        <v>0</v>
      </c>
      <c r="AO46" s="27"/>
      <c r="AP46" s="1"/>
      <c r="AQ46" s="1"/>
      <c r="AR46" s="1"/>
      <c r="AS46" s="1"/>
      <c r="AT46" s="1"/>
    </row>
    <row r="47" spans="1:46">
      <c r="A47" s="34" t="s">
        <v>296</v>
      </c>
      <c r="B47" s="12">
        <v>15</v>
      </c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34"/>
      <c r="AN47" s="12">
        <f>AM47*B47</f>
        <v>0</v>
      </c>
      <c r="AO47" s="27"/>
      <c r="AP47" s="1"/>
      <c r="AQ47" s="1"/>
      <c r="AR47" s="1"/>
      <c r="AS47" s="1"/>
      <c r="AT47" s="1"/>
    </row>
    <row r="48" spans="1:46">
      <c r="A48" s="34" t="s">
        <v>297</v>
      </c>
      <c r="B48" s="12">
        <v>125</v>
      </c>
      <c r="C48" s="118"/>
      <c r="D48" s="118"/>
      <c r="E48" s="119"/>
      <c r="F48" s="119"/>
      <c r="G48" s="119"/>
      <c r="H48" s="118"/>
      <c r="I48" s="118"/>
      <c r="J48" s="118"/>
      <c r="K48" s="118"/>
      <c r="L48" s="118"/>
      <c r="M48" s="118"/>
      <c r="N48" s="118"/>
      <c r="O48" s="118"/>
      <c r="P48" s="118"/>
      <c r="Q48" s="120"/>
      <c r="R48" s="119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34"/>
      <c r="AN48" s="12">
        <f>AM48*B48</f>
        <v>0</v>
      </c>
      <c r="AO48" s="27"/>
      <c r="AP48" s="1"/>
      <c r="AQ48" s="1"/>
      <c r="AR48" s="1"/>
      <c r="AS48" s="1"/>
      <c r="AT48" s="1"/>
    </row>
    <row r="49" spans="1:46">
      <c r="A49" s="34" t="s">
        <v>298</v>
      </c>
      <c r="B49" s="12">
        <v>100</v>
      </c>
      <c r="C49" s="121"/>
      <c r="D49" s="121"/>
      <c r="E49" s="121"/>
      <c r="F49" s="121"/>
      <c r="G49" s="121"/>
      <c r="H49" s="121"/>
      <c r="I49" s="121"/>
      <c r="J49" s="121"/>
      <c r="K49" s="37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34"/>
      <c r="AN49" s="12">
        <f>AM49*B49+(20*K49)</f>
        <v>0</v>
      </c>
      <c r="AO49" s="27"/>
      <c r="AP49" s="1"/>
      <c r="AQ49" s="1"/>
      <c r="AR49" s="1"/>
      <c r="AS49" s="1"/>
      <c r="AT49" s="1"/>
    </row>
    <row r="50" spans="1:46">
      <c r="A50" s="34" t="s">
        <v>299</v>
      </c>
      <c r="B50" s="12">
        <v>50</v>
      </c>
      <c r="C50" s="118"/>
      <c r="D50" s="118"/>
      <c r="E50" s="119"/>
      <c r="F50" s="119"/>
      <c r="G50" s="119"/>
      <c r="H50" s="118"/>
      <c r="I50" s="118"/>
      <c r="J50" s="118"/>
      <c r="K50" s="118"/>
      <c r="L50" s="118"/>
      <c r="M50" s="118"/>
      <c r="N50" s="118"/>
      <c r="O50" s="118"/>
      <c r="P50" s="118"/>
      <c r="Q50" s="120"/>
      <c r="R50" s="119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45"/>
      <c r="AH50" s="45"/>
      <c r="AI50" s="118"/>
      <c r="AJ50" s="118"/>
      <c r="AK50" s="45"/>
      <c r="AL50" s="118"/>
      <c r="AM50" s="34"/>
      <c r="AN50" s="12">
        <f>AM50*B50+(65*AG50+15*AH50+5*AK50)</f>
        <v>0</v>
      </c>
      <c r="AO50" s="27"/>
      <c r="AP50" s="1"/>
      <c r="AQ50" s="1"/>
      <c r="AR50" s="1"/>
      <c r="AS50" s="1"/>
      <c r="AT50" s="1"/>
    </row>
    <row r="51" spans="1:46">
      <c r="A51" s="34" t="s">
        <v>300</v>
      </c>
      <c r="B51" s="27">
        <v>90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37"/>
      <c r="AG51" s="37"/>
      <c r="AH51" s="37"/>
      <c r="AI51" s="37"/>
      <c r="AJ51" s="37"/>
      <c r="AK51" s="37"/>
      <c r="AL51" s="37"/>
      <c r="AM51" s="34"/>
      <c r="AN51" s="12">
        <f>AM51*B51+(90*AF51+65*AG51+15*AH51+15*AI51+5*AJ51+5*AK51+4*AL51)</f>
        <v>0</v>
      </c>
      <c r="AO51" s="27"/>
      <c r="AP51" s="1"/>
      <c r="AQ51" s="1"/>
      <c r="AR51" s="1"/>
      <c r="AS51" s="1"/>
      <c r="AT51" s="1"/>
    </row>
    <row r="52" spans="1:46">
      <c r="A52" s="123"/>
      <c r="B52" s="123"/>
      <c r="C52" s="123"/>
      <c r="D52" s="123"/>
      <c r="E52" s="123"/>
      <c r="F52" s="123"/>
      <c r="G52" s="123"/>
      <c r="H52" s="1"/>
      <c r="I52" s="1"/>
      <c r="J52" s="1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"/>
      <c r="AD52" s="1"/>
      <c r="AE52" s="123"/>
      <c r="AF52" s="123"/>
      <c r="AG52" s="1"/>
      <c r="AH52" s="1"/>
      <c r="AI52" s="1"/>
      <c r="AJ52" s="36"/>
      <c r="AK52" s="36"/>
      <c r="AL52" s="36"/>
      <c r="AM52" s="27"/>
      <c r="AN52" s="27"/>
      <c r="AO52" s="27"/>
      <c r="AP52" s="1"/>
      <c r="AQ52" s="1"/>
      <c r="AR52" s="1"/>
      <c r="AS52" s="1"/>
      <c r="AT52" s="1"/>
    </row>
    <row r="53" spans="1:46" ht="15.75" thickBot="1">
      <c r="A53" s="123"/>
      <c r="B53" s="123"/>
      <c r="C53" s="123"/>
      <c r="D53" s="123"/>
      <c r="E53" s="123"/>
      <c r="F53" s="123"/>
      <c r="G53" s="123"/>
      <c r="H53" s="1"/>
      <c r="I53" s="1"/>
      <c r="J53" s="1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"/>
      <c r="AD53" s="1"/>
      <c r="AE53" s="123"/>
      <c r="AF53" s="123"/>
      <c r="AG53" s="1"/>
      <c r="AH53" s="1"/>
      <c r="AI53" s="1"/>
      <c r="AJ53" s="36"/>
      <c r="AK53" s="36"/>
      <c r="AL53" s="36"/>
      <c r="AM53" s="27" t="s">
        <v>46</v>
      </c>
      <c r="AN53" s="30" t="s">
        <v>47</v>
      </c>
      <c r="AO53" s="27" t="s">
        <v>46</v>
      </c>
      <c r="AP53" s="1"/>
      <c r="AQ53" s="1"/>
      <c r="AR53" s="1"/>
      <c r="AS53" s="1"/>
      <c r="AT53" s="1"/>
    </row>
    <row r="54" spans="1:46" ht="15.75" thickBot="1">
      <c r="A54" s="123"/>
      <c r="B54" s="123"/>
      <c r="C54" s="123"/>
      <c r="D54" s="123"/>
      <c r="E54" s="123"/>
      <c r="F54" s="123"/>
      <c r="G54" s="123"/>
      <c r="H54" s="1"/>
      <c r="I54" s="1"/>
      <c r="J54" s="1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"/>
      <c r="AD54" s="1"/>
      <c r="AE54" s="123"/>
      <c r="AF54" s="123"/>
      <c r="AG54" s="1"/>
      <c r="AH54" s="1"/>
      <c r="AI54" s="1"/>
      <c r="AJ54" s="36"/>
      <c r="AK54" s="36"/>
      <c r="AL54" s="36"/>
      <c r="AM54" s="31">
        <f>SUM(AM2:AM51)</f>
        <v>0</v>
      </c>
      <c r="AN54" s="32">
        <f>SUM(AN2:AN51)</f>
        <v>0</v>
      </c>
      <c r="AO54" s="124">
        <f>SUM(AO2:AO38)</f>
        <v>0</v>
      </c>
      <c r="AP54" s="1"/>
      <c r="AQ54" s="1"/>
      <c r="AR54" s="1"/>
      <c r="AS54" s="1"/>
      <c r="AT54" s="1"/>
    </row>
    <row r="55" spans="1:46">
      <c r="A55" s="123"/>
      <c r="B55" s="123"/>
      <c r="C55" s="123"/>
      <c r="D55" s="123"/>
      <c r="E55" s="123"/>
      <c r="F55" s="123"/>
      <c r="G55" s="123"/>
      <c r="H55" s="1"/>
      <c r="I55" s="1"/>
      <c r="J55" s="1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"/>
      <c r="AD55" s="1"/>
      <c r="AE55" s="123"/>
      <c r="AF55" s="123"/>
      <c r="AG55" s="1"/>
      <c r="AH55" s="1"/>
      <c r="AI55" s="1"/>
      <c r="AJ55" s="36"/>
      <c r="AK55" s="36"/>
      <c r="AL55" s="36"/>
      <c r="AM55" s="12"/>
      <c r="AN55" s="27"/>
      <c r="AO55" s="27"/>
      <c r="AP55" s="1"/>
      <c r="AQ55" s="1"/>
      <c r="AR55" s="1"/>
      <c r="AS55" s="1"/>
      <c r="AT55" s="1"/>
    </row>
    <row r="56" spans="1:46">
      <c r="A56" s="123"/>
      <c r="B56" s="123"/>
      <c r="C56" s="123"/>
      <c r="D56" s="123"/>
      <c r="E56" s="123"/>
      <c r="F56" s="123"/>
      <c r="G56" s="123"/>
      <c r="H56" s="1"/>
      <c r="I56" s="1"/>
      <c r="J56" s="1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"/>
      <c r="AD56" s="1"/>
      <c r="AE56" s="123"/>
      <c r="AF56" s="123"/>
      <c r="AG56" s="1"/>
      <c r="AH56" s="1"/>
      <c r="AI56" s="1"/>
      <c r="AJ56" s="36"/>
      <c r="AK56" s="36"/>
      <c r="AL56" s="36"/>
      <c r="AM56" s="27" t="s">
        <v>1</v>
      </c>
      <c r="AN56" s="27"/>
      <c r="AO56" s="27"/>
      <c r="AP56" s="1"/>
      <c r="AQ56" s="1"/>
      <c r="AR56" s="1"/>
      <c r="AS56" s="1"/>
      <c r="AT56" s="1"/>
    </row>
    <row r="57" spans="1:46">
      <c r="A57" s="123"/>
      <c r="B57" s="123"/>
      <c r="C57" s="123"/>
      <c r="D57" s="123"/>
      <c r="E57" s="123"/>
      <c r="F57" s="123"/>
      <c r="G57" s="123"/>
      <c r="H57" s="1"/>
      <c r="I57" s="1"/>
      <c r="J57" s="1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"/>
      <c r="AD57" s="1"/>
      <c r="AE57" s="123"/>
      <c r="AF57" s="123"/>
      <c r="AG57" s="1"/>
      <c r="AH57" s="1"/>
      <c r="AI57" s="1"/>
      <c r="AJ57" s="36"/>
      <c r="AK57" s="36"/>
      <c r="AL57" s="36"/>
      <c r="AM57" s="124">
        <f>ROUNDUP(AM54/3,0)</f>
        <v>0</v>
      </c>
      <c r="AN57" s="35"/>
      <c r="AO57" s="27"/>
      <c r="AP57" s="1"/>
      <c r="AQ57" s="1"/>
      <c r="AR57" s="1"/>
      <c r="AS57" s="1"/>
      <c r="AT57" s="1"/>
    </row>
    <row r="58" spans="1:46">
      <c r="A58" s="123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"/>
      <c r="AA58" s="125"/>
      <c r="AB58" s="1"/>
      <c r="AC58" s="1"/>
      <c r="AD58" s="1"/>
      <c r="AE58" s="36"/>
      <c r="AF58" s="36"/>
      <c r="AG58" s="36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"/>
      <c r="AA59" s="125"/>
      <c r="AB59" s="1"/>
      <c r="AC59" s="1"/>
      <c r="AD59" s="1"/>
      <c r="AE59" s="36"/>
      <c r="AF59" s="36"/>
      <c r="AG59" s="36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>
      <c r="A60" s="123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"/>
      <c r="AA60" s="125"/>
      <c r="AB60" s="1"/>
      <c r="AC60" s="1"/>
      <c r="AD60" s="1"/>
      <c r="AE60" s="36"/>
      <c r="AF60" s="36"/>
      <c r="AG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>
      <c r="A61" s="123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"/>
      <c r="AA61" s="125"/>
      <c r="AB61" s="1"/>
      <c r="AC61" s="1"/>
      <c r="AD61" s="1"/>
      <c r="AE61" s="36"/>
      <c r="AF61" s="36"/>
      <c r="AG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>
      <c r="A62" s="123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"/>
      <c r="AA62" s="125"/>
      <c r="AB62" s="1"/>
      <c r="AC62" s="1"/>
      <c r="AD62" s="1"/>
      <c r="AE62" s="36"/>
      <c r="AF62" s="36"/>
      <c r="AG62" s="36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>
      <c r="A63" s="123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"/>
      <c r="AA63" s="125"/>
      <c r="AB63" s="1"/>
      <c r="AC63" s="1"/>
      <c r="AD63" s="1"/>
      <c r="AE63" s="36"/>
      <c r="AF63" s="36"/>
      <c r="AG63" s="36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"/>
      <c r="AA64" s="125"/>
      <c r="AB64" s="1"/>
      <c r="AC64" s="1"/>
      <c r="AD64" s="1"/>
      <c r="AE64" s="36"/>
      <c r="AF64" s="36"/>
      <c r="AG64" s="36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"/>
      <c r="AA65" s="125"/>
      <c r="AB65" s="1"/>
      <c r="AC65" s="1"/>
      <c r="AD65" s="1"/>
      <c r="AE65" s="36"/>
      <c r="AF65" s="36"/>
      <c r="AG65" s="36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>
      <c r="A66" s="123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"/>
      <c r="AA66" s="125"/>
      <c r="AB66" s="1"/>
      <c r="AC66" s="1"/>
      <c r="AD66" s="1"/>
      <c r="AE66" s="36"/>
      <c r="AF66" s="36"/>
      <c r="AG66" s="36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"/>
      <c r="AA67" s="125"/>
      <c r="AB67" s="1"/>
      <c r="AC67" s="1"/>
      <c r="AD67" s="1"/>
      <c r="AE67" s="36"/>
      <c r="AF67" s="36"/>
      <c r="AG67" s="36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"/>
      <c r="AA68" s="125"/>
      <c r="AB68" s="1"/>
      <c r="AC68" s="1"/>
      <c r="AD68" s="1"/>
      <c r="AE68" s="36"/>
      <c r="AF68" s="36"/>
      <c r="AG68" s="36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"/>
      <c r="AA69" s="125"/>
      <c r="AB69" s="1"/>
      <c r="AC69" s="1"/>
      <c r="AD69" s="1"/>
      <c r="AE69" s="36"/>
      <c r="AF69" s="36"/>
      <c r="AG69" s="36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"/>
      <c r="AA70" s="125"/>
      <c r="AB70" s="1"/>
      <c r="AC70" s="1"/>
      <c r="AD70" s="1"/>
      <c r="AE70" s="36"/>
      <c r="AF70" s="36"/>
      <c r="AG70" s="36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"/>
      <c r="AA71" s="125"/>
      <c r="AB71" s="1"/>
      <c r="AC71" s="1"/>
      <c r="AD71" s="1"/>
      <c r="AE71" s="36"/>
      <c r="AF71" s="36"/>
      <c r="AG71" s="36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"/>
      <c r="AA72" s="125"/>
      <c r="AB72" s="1"/>
      <c r="AC72" s="1"/>
      <c r="AD72" s="1"/>
      <c r="AE72" s="36"/>
      <c r="AF72" s="36"/>
      <c r="AG72" s="36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"/>
      <c r="AA73" s="125"/>
      <c r="AB73" s="1"/>
      <c r="AC73" s="1"/>
      <c r="AD73" s="1"/>
      <c r="AE73" s="36"/>
      <c r="AF73" s="36"/>
      <c r="AG73" s="36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"/>
      <c r="AA74" s="125"/>
      <c r="AB74" s="1"/>
      <c r="AC74" s="1"/>
      <c r="AD74" s="1"/>
      <c r="AE74" s="36"/>
      <c r="AF74" s="36"/>
      <c r="AG74" s="36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</sheetData>
  <hyperlinks>
    <hyperlink ref="A1" location="'Huestes de la Oscuridad'!A1" display="Mordor"/>
  </hyperlinks>
  <pageMargins left="0.7" right="0.7" top="0.75" bottom="0.75" header="0.3" footer="0.3"/>
  <ignoredErrors>
    <ignoredError sqref="AO9 AO11 AO13 AO16 AO34 AN33 AN46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>
  <dimension ref="A1:AC50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20" width="3.28515625" customWidth="1"/>
    <col min="21" max="23" width="9.7109375" customWidth="1"/>
  </cols>
  <sheetData>
    <row r="1" spans="1:29" ht="170.1" customHeight="1">
      <c r="A1" s="175" t="s">
        <v>301</v>
      </c>
      <c r="B1" s="4" t="s">
        <v>3</v>
      </c>
      <c r="C1" s="5" t="s">
        <v>4</v>
      </c>
      <c r="D1" s="5" t="s">
        <v>302</v>
      </c>
      <c r="E1" s="5" t="s">
        <v>303</v>
      </c>
      <c r="F1" s="5" t="s">
        <v>49</v>
      </c>
      <c r="G1" s="5" t="s">
        <v>148</v>
      </c>
      <c r="H1" s="5" t="s">
        <v>7</v>
      </c>
      <c r="I1" s="5" t="s">
        <v>64</v>
      </c>
      <c r="J1" s="5" t="s">
        <v>304</v>
      </c>
      <c r="K1" s="5" t="s">
        <v>451</v>
      </c>
      <c r="L1" s="5" t="s">
        <v>10</v>
      </c>
      <c r="M1" s="5" t="s">
        <v>305</v>
      </c>
      <c r="N1" s="5" t="s">
        <v>67</v>
      </c>
      <c r="O1" s="5" t="s">
        <v>14</v>
      </c>
      <c r="P1" s="5" t="s">
        <v>306</v>
      </c>
      <c r="Q1" s="5" t="s">
        <v>19</v>
      </c>
      <c r="R1" s="5" t="s">
        <v>20</v>
      </c>
      <c r="S1" s="5" t="s">
        <v>23</v>
      </c>
      <c r="T1" s="5" t="s">
        <v>307</v>
      </c>
      <c r="U1" s="5" t="s">
        <v>24</v>
      </c>
      <c r="V1" s="5" t="s">
        <v>0</v>
      </c>
      <c r="W1" s="5" t="s">
        <v>25</v>
      </c>
      <c r="X1" s="1"/>
      <c r="Y1" s="1"/>
      <c r="Z1" s="1"/>
      <c r="AA1" s="1"/>
      <c r="AB1" s="126"/>
      <c r="AC1" s="126"/>
    </row>
    <row r="2" spans="1:29">
      <c r="A2" s="6" t="s">
        <v>308</v>
      </c>
      <c r="B2" s="7">
        <v>170</v>
      </c>
      <c r="C2" s="127"/>
      <c r="D2" s="127"/>
      <c r="E2" s="128"/>
      <c r="F2" s="128"/>
      <c r="G2" s="128"/>
      <c r="H2" s="129"/>
      <c r="I2" s="127"/>
      <c r="J2" s="127"/>
      <c r="K2" s="127"/>
      <c r="L2" s="127"/>
      <c r="M2" s="14"/>
      <c r="N2" s="128"/>
      <c r="O2" s="127"/>
      <c r="P2" s="127"/>
      <c r="Q2" s="127"/>
      <c r="R2" s="127"/>
      <c r="S2" s="127"/>
      <c r="T2" s="127"/>
      <c r="U2" s="7"/>
      <c r="V2" s="12">
        <f>U2*B2+(10*M2)</f>
        <v>0</v>
      </c>
      <c r="W2" s="13">
        <f>3*U2</f>
        <v>0</v>
      </c>
      <c r="X2" s="1"/>
      <c r="Y2" s="1"/>
      <c r="Z2" s="1"/>
      <c r="AA2" s="1"/>
      <c r="AB2" s="130"/>
      <c r="AC2" s="130"/>
    </row>
    <row r="3" spans="1:29">
      <c r="A3" s="6" t="s">
        <v>309</v>
      </c>
      <c r="B3" s="7">
        <v>60</v>
      </c>
      <c r="C3" s="90"/>
      <c r="D3" s="90"/>
      <c r="E3" s="91"/>
      <c r="F3" s="91"/>
      <c r="G3" s="91"/>
      <c r="H3" s="90"/>
      <c r="I3" s="90"/>
      <c r="J3" s="90"/>
      <c r="K3" s="90"/>
      <c r="L3" s="90"/>
      <c r="M3" s="90"/>
      <c r="N3" s="91"/>
      <c r="O3" s="90"/>
      <c r="P3" s="90"/>
      <c r="Q3" s="90"/>
      <c r="R3" s="90"/>
      <c r="S3" s="90"/>
      <c r="T3" s="90"/>
      <c r="U3" s="7"/>
      <c r="V3" s="12">
        <f>U3*B3</f>
        <v>0</v>
      </c>
      <c r="W3" s="13">
        <f>3*U3</f>
        <v>0</v>
      </c>
      <c r="X3" s="1"/>
      <c r="Y3" s="1"/>
      <c r="Z3" s="1"/>
      <c r="AA3" s="1"/>
      <c r="AB3" s="130"/>
      <c r="AC3" s="130"/>
    </row>
    <row r="4" spans="1:29">
      <c r="A4" s="6" t="s">
        <v>310</v>
      </c>
      <c r="B4" s="7">
        <v>60</v>
      </c>
      <c r="C4" s="127"/>
      <c r="D4" s="127"/>
      <c r="E4" s="128"/>
      <c r="F4" s="128"/>
      <c r="G4" s="128"/>
      <c r="H4" s="127"/>
      <c r="I4" s="127"/>
      <c r="J4" s="127"/>
      <c r="K4" s="127"/>
      <c r="L4" s="127"/>
      <c r="M4" s="127"/>
      <c r="N4" s="128"/>
      <c r="O4" s="127"/>
      <c r="P4" s="127"/>
      <c r="Q4" s="127"/>
      <c r="R4" s="127"/>
      <c r="S4" s="127"/>
      <c r="T4" s="127"/>
      <c r="U4" s="12"/>
      <c r="V4" s="12">
        <f>U4*B4</f>
        <v>0</v>
      </c>
      <c r="W4" s="13">
        <f>3*U4</f>
        <v>0</v>
      </c>
      <c r="X4" s="1"/>
      <c r="Y4" s="1"/>
      <c r="Z4" s="1"/>
      <c r="AA4" s="1"/>
      <c r="AB4" s="130"/>
      <c r="AC4" s="130"/>
    </row>
    <row r="5" spans="1:29">
      <c r="A5" s="6" t="s">
        <v>311</v>
      </c>
      <c r="B5" s="7">
        <v>25</v>
      </c>
      <c r="C5" s="90"/>
      <c r="D5" s="90"/>
      <c r="E5" s="91"/>
      <c r="F5" s="91"/>
      <c r="G5" s="91"/>
      <c r="H5" s="90"/>
      <c r="I5" s="90"/>
      <c r="J5" s="90"/>
      <c r="K5" s="90"/>
      <c r="L5" s="90"/>
      <c r="M5" s="14"/>
      <c r="N5" s="91"/>
      <c r="O5" s="90"/>
      <c r="P5" s="90"/>
      <c r="Q5" s="90"/>
      <c r="R5" s="90"/>
      <c r="S5" s="90"/>
      <c r="T5" s="90"/>
      <c r="U5" s="12"/>
      <c r="V5" s="12">
        <f>U5*B5+(10*M5)</f>
        <v>0</v>
      </c>
      <c r="W5" s="13">
        <f>0*U5</f>
        <v>0</v>
      </c>
      <c r="X5" s="1"/>
      <c r="Y5" s="1"/>
      <c r="Z5" s="1"/>
      <c r="AA5" s="1"/>
      <c r="AB5" s="130"/>
      <c r="AC5" s="130"/>
    </row>
    <row r="6" spans="1:29">
      <c r="A6" s="6" t="s">
        <v>312</v>
      </c>
      <c r="B6" s="7">
        <v>85</v>
      </c>
      <c r="C6" s="127"/>
      <c r="D6" s="127"/>
      <c r="E6" s="128"/>
      <c r="F6" s="128"/>
      <c r="G6" s="128"/>
      <c r="H6" s="127"/>
      <c r="I6" s="127"/>
      <c r="J6" s="127"/>
      <c r="K6" s="127"/>
      <c r="L6" s="127"/>
      <c r="M6" s="20"/>
      <c r="N6" s="128"/>
      <c r="O6" s="127"/>
      <c r="P6" s="127"/>
      <c r="Q6" s="127"/>
      <c r="R6" s="127"/>
      <c r="S6" s="127"/>
      <c r="T6" s="127"/>
      <c r="U6" s="12"/>
      <c r="V6" s="12">
        <f>U6*B6+(10*M6)</f>
        <v>0</v>
      </c>
      <c r="W6" s="13">
        <f>3*U6</f>
        <v>0</v>
      </c>
      <c r="X6" s="1"/>
      <c r="Y6" s="1"/>
      <c r="Z6" s="1"/>
      <c r="AA6" s="1"/>
      <c r="AB6" s="130"/>
      <c r="AC6" s="130"/>
    </row>
    <row r="7" spans="1:29">
      <c r="A7" s="6" t="s">
        <v>313</v>
      </c>
      <c r="B7" s="7">
        <v>45</v>
      </c>
      <c r="C7" s="17"/>
      <c r="D7" s="91"/>
      <c r="E7" s="91"/>
      <c r="F7" s="91"/>
      <c r="G7" s="91"/>
      <c r="H7" s="91"/>
      <c r="I7" s="91"/>
      <c r="J7" s="91"/>
      <c r="K7" s="91"/>
      <c r="L7" s="91"/>
      <c r="M7" s="17"/>
      <c r="N7" s="91"/>
      <c r="O7" s="91"/>
      <c r="P7" s="91"/>
      <c r="Q7" s="91"/>
      <c r="R7" s="91"/>
      <c r="S7" s="91"/>
      <c r="T7" s="91"/>
      <c r="U7" s="18"/>
      <c r="V7" s="12">
        <f>U7*B7+(5*C7+10*M7)</f>
        <v>0</v>
      </c>
      <c r="W7" s="13">
        <f>3*U7</f>
        <v>0</v>
      </c>
      <c r="X7" s="1"/>
      <c r="Y7" s="1"/>
      <c r="Z7" s="1"/>
      <c r="AA7" s="1"/>
      <c r="AB7" s="1"/>
      <c r="AC7" s="1"/>
    </row>
    <row r="8" spans="1:29">
      <c r="A8" s="6" t="s">
        <v>314</v>
      </c>
      <c r="B8" s="7">
        <v>60</v>
      </c>
      <c r="C8" s="127"/>
      <c r="D8" s="127"/>
      <c r="E8" s="128"/>
      <c r="F8" s="128"/>
      <c r="G8" s="128"/>
      <c r="H8" s="127"/>
      <c r="I8" s="127"/>
      <c r="J8" s="127"/>
      <c r="K8" s="127"/>
      <c r="L8" s="127"/>
      <c r="M8" s="127"/>
      <c r="N8" s="128"/>
      <c r="O8" s="127"/>
      <c r="P8" s="127"/>
      <c r="Q8" s="127"/>
      <c r="R8" s="127"/>
      <c r="S8" s="127"/>
      <c r="T8" s="127"/>
      <c r="U8" s="12"/>
      <c r="V8" s="12">
        <f>U8*B8</f>
        <v>0</v>
      </c>
      <c r="W8" s="13">
        <f>3*U8</f>
        <v>0</v>
      </c>
      <c r="X8" s="1"/>
      <c r="Y8" s="1"/>
      <c r="Z8" s="1"/>
      <c r="AA8" s="1"/>
      <c r="AB8" s="130"/>
      <c r="AC8" s="130"/>
    </row>
    <row r="9" spans="1:29">
      <c r="A9" s="6" t="s">
        <v>315</v>
      </c>
      <c r="B9" s="7">
        <v>60</v>
      </c>
      <c r="C9" s="90"/>
      <c r="D9" s="90"/>
      <c r="E9" s="91"/>
      <c r="F9" s="91"/>
      <c r="G9" s="91"/>
      <c r="H9" s="90"/>
      <c r="I9" s="90"/>
      <c r="J9" s="90"/>
      <c r="K9" s="90"/>
      <c r="L9" s="90"/>
      <c r="M9" s="90"/>
      <c r="N9" s="91"/>
      <c r="O9" s="90"/>
      <c r="P9" s="90"/>
      <c r="Q9" s="90"/>
      <c r="R9" s="90"/>
      <c r="S9" s="90"/>
      <c r="T9" s="90"/>
      <c r="U9" s="12"/>
      <c r="V9" s="12">
        <f>U9*B9</f>
        <v>0</v>
      </c>
      <c r="W9" s="13">
        <f>2*U9</f>
        <v>0</v>
      </c>
      <c r="X9" s="1"/>
      <c r="Y9" s="1"/>
      <c r="Z9" s="1"/>
      <c r="AA9" s="1"/>
      <c r="AB9" s="130"/>
      <c r="AC9" s="130"/>
    </row>
    <row r="10" spans="1:29">
      <c r="A10" s="6" t="s">
        <v>316</v>
      </c>
      <c r="B10" s="19">
        <v>50</v>
      </c>
      <c r="C10" s="17"/>
      <c r="D10" s="17"/>
      <c r="E10" s="17"/>
      <c r="F10" s="128"/>
      <c r="G10" s="17"/>
      <c r="H10" s="128"/>
      <c r="I10" s="128"/>
      <c r="J10" s="128"/>
      <c r="K10" s="128"/>
      <c r="L10" s="128"/>
      <c r="M10" s="128"/>
      <c r="N10" s="128"/>
      <c r="O10" s="17"/>
      <c r="P10" s="128"/>
      <c r="Q10" s="128"/>
      <c r="R10" s="128"/>
      <c r="S10" s="128"/>
      <c r="T10" s="128"/>
      <c r="U10" s="18"/>
      <c r="V10" s="12">
        <f>U10*B10+(5*C10+5*D10+5*E10+5*G10+5*O10)</f>
        <v>0</v>
      </c>
      <c r="W10" s="13">
        <f>2*U10</f>
        <v>0</v>
      </c>
      <c r="X10" s="1"/>
      <c r="Y10" s="1"/>
      <c r="Z10" s="1"/>
      <c r="AA10" s="1"/>
      <c r="AB10" s="1"/>
      <c r="AC10" s="1"/>
    </row>
    <row r="11" spans="1:29">
      <c r="A11" s="6" t="s">
        <v>317</v>
      </c>
      <c r="B11" s="19">
        <v>50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17"/>
      <c r="O11" s="91"/>
      <c r="P11" s="91"/>
      <c r="Q11" s="91"/>
      <c r="R11" s="91"/>
      <c r="S11" s="91"/>
      <c r="T11" s="91"/>
      <c r="U11" s="18"/>
      <c r="V11" s="12">
        <f>U11*B11+(5*N11)</f>
        <v>0</v>
      </c>
      <c r="W11" s="13">
        <f>1*U11</f>
        <v>0</v>
      </c>
      <c r="X11" s="1"/>
      <c r="Y11" s="1"/>
      <c r="Z11" s="1"/>
      <c r="AA11" s="1"/>
      <c r="AB11" s="1"/>
      <c r="AC11" s="1"/>
    </row>
    <row r="12" spans="1:29">
      <c r="A12" s="6" t="s">
        <v>318</v>
      </c>
      <c r="B12" s="19">
        <v>40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8"/>
      <c r="V12" s="12">
        <f>U12*B12</f>
        <v>0</v>
      </c>
      <c r="W12" s="13">
        <f>0*U12</f>
        <v>0</v>
      </c>
      <c r="X12" s="1"/>
      <c r="Y12" s="1"/>
      <c r="Z12" s="1"/>
      <c r="AA12" s="1"/>
      <c r="AB12" s="1"/>
      <c r="AC12" s="1"/>
    </row>
    <row r="13" spans="1:29">
      <c r="A13" s="6" t="s">
        <v>270</v>
      </c>
      <c r="B13" s="7">
        <v>40</v>
      </c>
      <c r="C13" s="20"/>
      <c r="D13" s="20"/>
      <c r="E13" s="91"/>
      <c r="F13" s="91"/>
      <c r="G13" s="91"/>
      <c r="H13" s="90"/>
      <c r="I13" s="90"/>
      <c r="J13" s="90"/>
      <c r="K13" s="90"/>
      <c r="L13" s="90"/>
      <c r="M13" s="14"/>
      <c r="N13" s="91"/>
      <c r="O13" s="90"/>
      <c r="P13" s="90"/>
      <c r="Q13" s="90"/>
      <c r="R13" s="90"/>
      <c r="S13" s="90"/>
      <c r="T13" s="90"/>
      <c r="U13" s="12"/>
      <c r="V13" s="12">
        <f>U13*B13+(5*C13+5*D13+10*M13)</f>
        <v>0</v>
      </c>
      <c r="W13" s="13">
        <f>2*U13</f>
        <v>0</v>
      </c>
      <c r="X13" s="1"/>
      <c r="Y13" s="1"/>
      <c r="Z13" s="1"/>
      <c r="AA13" s="1"/>
      <c r="AB13" s="131"/>
      <c r="AC13" s="131"/>
    </row>
    <row r="14" spans="1:29">
      <c r="A14" s="6" t="s">
        <v>319</v>
      </c>
      <c r="B14" s="19">
        <v>55</v>
      </c>
      <c r="C14" s="17"/>
      <c r="D14" s="17"/>
      <c r="E14" s="128"/>
      <c r="F14" s="128"/>
      <c r="G14" s="17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8"/>
      <c r="V14" s="12">
        <f>U14*B14+(5*C14+5*D14+5*G14+10*M14)</f>
        <v>0</v>
      </c>
      <c r="W14" s="13">
        <f>2*U14</f>
        <v>0</v>
      </c>
      <c r="X14" s="1"/>
      <c r="Y14" s="1"/>
      <c r="Z14" s="1"/>
      <c r="AA14" s="1"/>
      <c r="AB14" s="1"/>
      <c r="AC14" s="1"/>
    </row>
    <row r="15" spans="1:29">
      <c r="A15" s="6" t="s">
        <v>320</v>
      </c>
      <c r="B15" s="19">
        <v>60</v>
      </c>
      <c r="C15" s="90"/>
      <c r="D15" s="90"/>
      <c r="E15" s="91"/>
      <c r="F15" s="91"/>
      <c r="G15" s="91"/>
      <c r="H15" s="90"/>
      <c r="I15" s="90"/>
      <c r="J15" s="90"/>
      <c r="K15" s="90"/>
      <c r="L15" s="90"/>
      <c r="M15" s="90"/>
      <c r="N15" s="91"/>
      <c r="O15" s="91"/>
      <c r="P15" s="91"/>
      <c r="Q15" s="91"/>
      <c r="R15" s="91"/>
      <c r="S15" s="91"/>
      <c r="T15" s="91"/>
      <c r="U15" s="18"/>
      <c r="V15" s="12">
        <f>U15*B15</f>
        <v>0</v>
      </c>
      <c r="W15" s="13">
        <f>1*U15</f>
        <v>0</v>
      </c>
      <c r="X15" s="1"/>
      <c r="Y15" s="1"/>
      <c r="Z15" s="1"/>
      <c r="AA15" s="1"/>
      <c r="AB15" s="1"/>
      <c r="AC15" s="1"/>
    </row>
    <row r="16" spans="1:29">
      <c r="A16" s="6" t="s">
        <v>321</v>
      </c>
      <c r="B16" s="7">
        <v>8</v>
      </c>
      <c r="C16" s="20"/>
      <c r="D16" s="14"/>
      <c r="E16" s="128"/>
      <c r="F16" s="128"/>
      <c r="G16" s="128"/>
      <c r="H16" s="127"/>
      <c r="I16" s="127"/>
      <c r="J16" s="127"/>
      <c r="K16" s="14"/>
      <c r="L16" s="207"/>
      <c r="M16" s="127"/>
      <c r="N16" s="128"/>
      <c r="O16" s="127"/>
      <c r="P16" s="127"/>
      <c r="Q16" s="127"/>
      <c r="R16" s="127"/>
      <c r="S16" s="127"/>
      <c r="T16" s="127"/>
      <c r="U16" s="12"/>
      <c r="V16" s="12">
        <f>U16*B16+(1*C16+1*D16+25*K16)</f>
        <v>0</v>
      </c>
      <c r="W16" s="22"/>
      <c r="X16" s="1"/>
      <c r="Y16" s="1"/>
      <c r="Z16" s="1"/>
      <c r="AA16" s="1"/>
      <c r="AB16" s="130"/>
      <c r="AC16" s="130"/>
    </row>
    <row r="17" spans="1:29">
      <c r="A17" s="6" t="s">
        <v>322</v>
      </c>
      <c r="B17" s="7">
        <v>9</v>
      </c>
      <c r="C17" s="14"/>
      <c r="D17" s="90"/>
      <c r="E17" s="17"/>
      <c r="F17" s="17"/>
      <c r="G17" s="91"/>
      <c r="H17" s="90"/>
      <c r="I17" s="90"/>
      <c r="J17" s="90"/>
      <c r="K17" s="90"/>
      <c r="L17" s="14"/>
      <c r="M17" s="90"/>
      <c r="N17" s="91"/>
      <c r="O17" s="90"/>
      <c r="P17" s="90"/>
      <c r="Q17" s="90"/>
      <c r="R17" s="90"/>
      <c r="S17" s="90"/>
      <c r="T17" s="90"/>
      <c r="U17" s="12"/>
      <c r="V17" s="12">
        <f>U17*B17+(1*C17+2*E17+1*F17+25*L17)</f>
        <v>0</v>
      </c>
      <c r="W17" s="22"/>
      <c r="X17" s="1"/>
      <c r="Y17" s="1"/>
      <c r="Z17" s="1"/>
      <c r="AA17" s="1"/>
      <c r="AB17" s="130"/>
      <c r="AC17" s="130"/>
    </row>
    <row r="18" spans="1:29">
      <c r="A18" s="6" t="s">
        <v>323</v>
      </c>
      <c r="B18" s="19">
        <v>15</v>
      </c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9"/>
      <c r="V18" s="12">
        <f>U18*B18</f>
        <v>0</v>
      </c>
      <c r="W18" s="22"/>
      <c r="X18" s="1"/>
      <c r="Y18" s="1"/>
      <c r="Z18" s="1"/>
      <c r="AA18" s="1"/>
      <c r="AB18" s="1"/>
      <c r="AC18" s="1"/>
    </row>
    <row r="19" spans="1:29">
      <c r="A19" s="23" t="s">
        <v>324</v>
      </c>
      <c r="B19" s="19">
        <v>12</v>
      </c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18"/>
      <c r="V19" s="12">
        <f>U19*B19</f>
        <v>0</v>
      </c>
      <c r="W19" s="22"/>
      <c r="X19" s="1"/>
      <c r="Y19" s="1"/>
      <c r="Z19" s="1"/>
      <c r="AA19" s="1"/>
      <c r="AB19" s="1"/>
      <c r="AC19" s="1"/>
    </row>
    <row r="20" spans="1:29">
      <c r="A20" s="23" t="s">
        <v>325</v>
      </c>
      <c r="B20" s="19">
        <v>105</v>
      </c>
      <c r="C20" s="128"/>
      <c r="D20" s="128"/>
      <c r="E20" s="128"/>
      <c r="F20" s="128"/>
      <c r="G20" s="128"/>
      <c r="H20" s="17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8"/>
      <c r="V20" s="12">
        <f>U20*B20+(1*H20)</f>
        <v>0</v>
      </c>
      <c r="W20" s="22"/>
      <c r="X20" s="1"/>
      <c r="Y20" s="1"/>
      <c r="Z20" s="1"/>
      <c r="AA20" s="1"/>
      <c r="AB20" s="1"/>
      <c r="AC20" s="1"/>
    </row>
    <row r="21" spans="1:29">
      <c r="A21" s="23" t="s">
        <v>326</v>
      </c>
      <c r="B21" s="12">
        <v>7</v>
      </c>
      <c r="C21" s="17"/>
      <c r="D21" s="17"/>
      <c r="E21" s="91"/>
      <c r="F21" s="91"/>
      <c r="G21" s="17"/>
      <c r="H21" s="91"/>
      <c r="I21" s="91"/>
      <c r="J21" s="91"/>
      <c r="K21" s="91"/>
      <c r="L21" s="17"/>
      <c r="M21" s="91"/>
      <c r="N21" s="91"/>
      <c r="O21" s="91"/>
      <c r="P21" s="91"/>
      <c r="Q21" s="91"/>
      <c r="R21" s="91"/>
      <c r="S21" s="91"/>
      <c r="T21" s="91"/>
      <c r="U21" s="18"/>
      <c r="V21" s="12">
        <f>U21*B21+(1*C21+1*D21+1*G21+25*L21)</f>
        <v>0</v>
      </c>
      <c r="W21" s="22"/>
      <c r="X21" s="1"/>
      <c r="Y21" s="1"/>
      <c r="Z21" s="1"/>
      <c r="AA21" s="1"/>
      <c r="AB21" s="1"/>
      <c r="AC21" s="1"/>
    </row>
    <row r="22" spans="1:29">
      <c r="A22" s="34" t="s">
        <v>327</v>
      </c>
      <c r="B22" s="12">
        <v>5</v>
      </c>
      <c r="C22" s="128"/>
      <c r="D22" s="128"/>
      <c r="E22" s="128"/>
      <c r="F22" s="128"/>
      <c r="G22" s="17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8"/>
      <c r="V22" s="12">
        <f>U22*B22+(1*G22)</f>
        <v>0</v>
      </c>
      <c r="W22" s="22"/>
      <c r="X22" s="1"/>
      <c r="Y22" s="1"/>
      <c r="Z22" s="1"/>
      <c r="AA22" s="1"/>
      <c r="AB22" s="1"/>
      <c r="AC22" s="1"/>
    </row>
    <row r="23" spans="1:29">
      <c r="A23" s="34" t="s">
        <v>328</v>
      </c>
      <c r="B23" s="12">
        <v>12</v>
      </c>
      <c r="C23" s="11"/>
      <c r="D23" s="11"/>
      <c r="E23" s="91"/>
      <c r="F23" s="91"/>
      <c r="G23" s="91"/>
      <c r="H23" s="91"/>
      <c r="I23" s="17"/>
      <c r="J23" s="91"/>
      <c r="K23" s="91"/>
      <c r="L23" s="11"/>
      <c r="M23" s="91"/>
      <c r="N23" s="91"/>
      <c r="O23" s="91"/>
      <c r="P23" s="91"/>
      <c r="Q23" s="91"/>
      <c r="R23" s="91"/>
      <c r="S23" s="91"/>
      <c r="T23" s="91"/>
      <c r="U23" s="18"/>
      <c r="V23" s="12">
        <f>U23*B23+(1*C23+1*D23+2*I23+25*L23)</f>
        <v>0</v>
      </c>
      <c r="W23" s="22"/>
      <c r="X23" s="1"/>
      <c r="Y23" s="1"/>
      <c r="Z23" s="1"/>
      <c r="AA23" s="1"/>
      <c r="AB23" s="1"/>
      <c r="AC23" s="1"/>
    </row>
    <row r="24" spans="1:29">
      <c r="A24" s="34" t="s">
        <v>286</v>
      </c>
      <c r="B24" s="12">
        <v>5</v>
      </c>
      <c r="C24" s="17"/>
      <c r="D24" s="11"/>
      <c r="E24" s="128"/>
      <c r="F24" s="128"/>
      <c r="G24" s="17"/>
      <c r="H24" s="17"/>
      <c r="I24" s="128"/>
      <c r="J24" s="128"/>
      <c r="K24" s="128"/>
      <c r="L24" s="17"/>
      <c r="M24" s="128"/>
      <c r="N24" s="128"/>
      <c r="O24" s="128"/>
      <c r="P24" s="128"/>
      <c r="Q24" s="128"/>
      <c r="R24" s="128"/>
      <c r="S24" s="128"/>
      <c r="T24" s="128"/>
      <c r="U24" s="18"/>
      <c r="V24" s="12">
        <f>U24*B24+(1*C24+1*D24+1*G24+1*H24+25*L24)</f>
        <v>0</v>
      </c>
      <c r="W24" s="22"/>
      <c r="X24" s="1"/>
      <c r="Y24" s="1"/>
      <c r="Z24" s="1"/>
      <c r="AA24" s="1"/>
      <c r="AB24" s="1"/>
      <c r="AC24" s="1"/>
    </row>
    <row r="25" spans="1:29">
      <c r="A25" s="34" t="s">
        <v>329</v>
      </c>
      <c r="B25" s="12">
        <v>4</v>
      </c>
      <c r="C25" s="91"/>
      <c r="D25" s="17"/>
      <c r="E25" s="91"/>
      <c r="F25" s="91"/>
      <c r="G25" s="91"/>
      <c r="H25" s="91"/>
      <c r="I25" s="91"/>
      <c r="J25" s="17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18"/>
      <c r="V25" s="12">
        <f>U25*B25+(1*D25+1*J25)</f>
        <v>0</v>
      </c>
      <c r="W25" s="22"/>
      <c r="X25" s="1"/>
      <c r="Y25" s="1"/>
      <c r="Z25" s="1"/>
      <c r="AA25" s="1"/>
      <c r="AB25" s="1"/>
      <c r="AC25" s="1"/>
    </row>
    <row r="26" spans="1:29">
      <c r="A26" s="34" t="s">
        <v>330</v>
      </c>
      <c r="B26" s="19">
        <v>65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7"/>
      <c r="Q26" s="17"/>
      <c r="R26" s="17"/>
      <c r="S26" s="17"/>
      <c r="T26" s="128"/>
      <c r="U26" s="7"/>
      <c r="V26" s="12">
        <f>U26*B26+(85*P26+15*Q26+10*R26+10*S26)</f>
        <v>0</v>
      </c>
      <c r="W26" s="22"/>
      <c r="X26" s="1"/>
      <c r="Y26" s="1"/>
      <c r="Z26" s="1"/>
      <c r="AA26" s="1"/>
      <c r="AB26" s="1"/>
      <c r="AC26" s="1"/>
    </row>
    <row r="27" spans="1:29">
      <c r="A27" s="34" t="s">
        <v>331</v>
      </c>
      <c r="B27" s="7">
        <v>80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17"/>
      <c r="U27" s="18"/>
      <c r="V27" s="12">
        <f>U27*B27+(1*T27)</f>
        <v>0</v>
      </c>
      <c r="W27" s="22"/>
      <c r="X27" s="1"/>
      <c r="Y27" s="1"/>
      <c r="Z27" s="1"/>
      <c r="AA27" s="1"/>
      <c r="AB27" s="1"/>
      <c r="AC27" s="1"/>
    </row>
    <row r="28" spans="1:29">
      <c r="A28" s="2"/>
      <c r="B28" s="2"/>
      <c r="C28" s="36"/>
      <c r="D28" s="36"/>
      <c r="E28" s="36"/>
      <c r="F28" s="36"/>
      <c r="G28" s="28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29"/>
      <c r="V28" s="36"/>
      <c r="W28" s="22"/>
      <c r="X28" s="1"/>
      <c r="Y28" s="1"/>
      <c r="Z28" s="1"/>
      <c r="AA28" s="1"/>
      <c r="AB28" s="1"/>
      <c r="AC28" s="1"/>
    </row>
    <row r="29" spans="1:29" ht="15.75" thickBot="1">
      <c r="A29" s="2"/>
      <c r="B29" s="2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27" t="s">
        <v>46</v>
      </c>
      <c r="V29" s="30" t="s">
        <v>47</v>
      </c>
      <c r="W29" s="22" t="s">
        <v>46</v>
      </c>
      <c r="X29" s="1"/>
      <c r="Y29" s="1"/>
      <c r="Z29" s="1"/>
      <c r="AA29" s="1"/>
      <c r="AB29" s="1"/>
      <c r="AC29" s="1"/>
    </row>
    <row r="30" spans="1:29" ht="15.7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31">
        <f>SUM(U2:U27)</f>
        <v>0</v>
      </c>
      <c r="V30" s="32">
        <f>SUM(V2:V27)</f>
        <v>0</v>
      </c>
      <c r="W30" s="132">
        <f>SUM(W2:W15)</f>
        <v>0</v>
      </c>
      <c r="X30" s="1"/>
      <c r="Y30" s="1"/>
      <c r="Z30" s="1"/>
      <c r="AA30" s="1"/>
      <c r="AB30" s="123"/>
      <c r="AC30" s="123"/>
    </row>
    <row r="31" spans="1:2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7"/>
      <c r="V31" s="34"/>
      <c r="W31" s="133"/>
      <c r="X31" s="1"/>
      <c r="Y31" s="1"/>
      <c r="Z31" s="1"/>
      <c r="AA31" s="1"/>
      <c r="AB31" s="123"/>
      <c r="AC31" s="123"/>
    </row>
    <row r="32" spans="1:2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7" t="s">
        <v>1</v>
      </c>
      <c r="V32" s="36"/>
      <c r="W32" s="133"/>
      <c r="X32" s="1"/>
      <c r="Y32" s="1"/>
      <c r="Z32" s="1"/>
      <c r="AA32" s="1"/>
      <c r="AB32" s="123"/>
      <c r="AC32" s="123"/>
    </row>
    <row r="33" spans="1:2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37">
        <f>ROUNDUP(U30/3,0)</f>
        <v>0</v>
      </c>
      <c r="V33" s="36"/>
      <c r="W33" s="134"/>
      <c r="X33" s="1"/>
      <c r="Y33" s="1"/>
      <c r="Z33" s="1"/>
      <c r="AA33" s="1"/>
      <c r="AB33" s="123"/>
      <c r="AC33" s="123"/>
    </row>
    <row r="34" spans="1:29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5"/>
      <c r="W34" s="123"/>
      <c r="X34" s="123"/>
      <c r="Y34" s="123"/>
      <c r="Z34" s="1"/>
      <c r="AA34" s="1"/>
      <c r="AB34" s="123"/>
      <c r="AC34" s="123"/>
    </row>
    <row r="35" spans="1:29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25"/>
      <c r="W35" s="1"/>
      <c r="X35" s="1"/>
      <c r="Y35" s="1"/>
      <c r="Z35" s="1"/>
      <c r="AA35" s="1"/>
      <c r="AB35" s="1"/>
      <c r="AC35" s="1"/>
    </row>
    <row r="36" spans="1:2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25"/>
      <c r="W36" s="1"/>
      <c r="X36" s="1"/>
      <c r="Y36" s="1"/>
      <c r="Z36" s="1"/>
      <c r="AA36" s="1"/>
      <c r="AB36" s="1"/>
      <c r="AC36" s="1"/>
    </row>
    <row r="37" spans="1:2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25"/>
      <c r="W37" s="1"/>
      <c r="X37" s="1"/>
      <c r="Y37" s="1"/>
      <c r="Z37" s="1"/>
      <c r="AA37" s="1"/>
      <c r="AB37" s="1"/>
      <c r="AC37" s="1"/>
    </row>
    <row r="38" spans="1:2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25"/>
      <c r="W38" s="1"/>
      <c r="X38" s="1"/>
      <c r="Y38" s="1"/>
      <c r="Z38" s="1"/>
      <c r="AA38" s="1"/>
      <c r="AB38" s="1"/>
      <c r="AC38" s="1"/>
    </row>
    <row r="39" spans="1:2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25"/>
      <c r="W39" s="1"/>
      <c r="X39" s="1"/>
      <c r="Y39" s="1"/>
      <c r="Z39" s="1"/>
      <c r="AA39" s="1"/>
      <c r="AB39" s="1"/>
      <c r="AC39" s="1"/>
    </row>
    <row r="40" spans="1:2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25"/>
      <c r="W40" s="1"/>
      <c r="X40" s="1"/>
      <c r="Y40" s="1"/>
      <c r="Z40" s="1"/>
      <c r="AA40" s="1"/>
      <c r="AB40" s="1"/>
      <c r="AC40" s="1"/>
    </row>
    <row r="41" spans="1:2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25"/>
      <c r="W41" s="1"/>
      <c r="X41" s="1"/>
      <c r="Y41" s="1"/>
      <c r="Z41" s="1"/>
      <c r="AA41" s="1"/>
      <c r="AB41" s="1"/>
      <c r="AC41" s="1"/>
    </row>
    <row r="42" spans="1:29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25"/>
      <c r="W42" s="1"/>
      <c r="X42" s="1"/>
      <c r="Y42" s="1"/>
      <c r="Z42" s="1"/>
      <c r="AA42" s="1"/>
      <c r="AB42" s="1"/>
      <c r="AC42" s="1"/>
    </row>
    <row r="43" spans="1:29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25"/>
      <c r="W43" s="1"/>
      <c r="X43" s="1"/>
      <c r="Y43" s="1"/>
      <c r="Z43" s="1"/>
      <c r="AA43" s="1"/>
      <c r="AB43" s="1"/>
      <c r="AC43" s="1"/>
    </row>
    <row r="44" spans="1:2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25"/>
      <c r="W44" s="1"/>
      <c r="X44" s="1"/>
      <c r="Y44" s="1"/>
      <c r="Z44" s="1"/>
      <c r="AA44" s="1"/>
      <c r="AB44" s="1"/>
      <c r="AC44" s="1"/>
    </row>
    <row r="45" spans="1:2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25"/>
      <c r="W45" s="1"/>
      <c r="X45" s="1"/>
      <c r="Y45" s="1"/>
      <c r="Z45" s="1"/>
      <c r="AA45" s="1"/>
      <c r="AB45" s="1"/>
      <c r="AC45" s="1"/>
    </row>
    <row r="46" spans="1:2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25"/>
      <c r="W46" s="1"/>
      <c r="X46" s="1"/>
      <c r="Y46" s="1"/>
      <c r="Z46" s="1"/>
      <c r="AA46" s="1"/>
      <c r="AB46" s="1"/>
      <c r="AC46" s="1"/>
    </row>
    <row r="47" spans="1:2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25"/>
      <c r="W47" s="1"/>
      <c r="X47" s="1"/>
      <c r="Y47" s="1"/>
      <c r="Z47" s="1"/>
      <c r="AA47" s="1"/>
      <c r="AB47" s="1"/>
      <c r="AC47" s="1"/>
    </row>
    <row r="48" spans="1:2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25"/>
      <c r="W48" s="1"/>
      <c r="X48" s="1"/>
      <c r="Y48" s="1"/>
      <c r="Z48" s="1"/>
      <c r="AA48" s="1"/>
      <c r="AB48" s="1"/>
      <c r="AC48" s="1"/>
    </row>
    <row r="49" spans="1:2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25"/>
      <c r="W49" s="1"/>
      <c r="X49" s="1"/>
      <c r="Y49" s="1"/>
      <c r="Z49" s="1"/>
      <c r="AA49" s="1"/>
      <c r="AB49" s="1"/>
      <c r="AC49" s="1"/>
    </row>
    <row r="50" spans="1:2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25"/>
      <c r="W50" s="1"/>
      <c r="X50" s="1"/>
      <c r="Y50" s="1"/>
      <c r="Z50" s="1"/>
      <c r="AA50" s="1"/>
      <c r="AB50" s="1"/>
      <c r="AC50" s="1"/>
    </row>
  </sheetData>
  <hyperlinks>
    <hyperlink ref="A1" location="'Huestes de la Oscuridad'!A1" display="Los Reinos Caídos: Isengard"/>
  </hyperlinks>
  <pageMargins left="0.7" right="0.7" top="0.75" bottom="0.75" header="0.3" footer="0.3"/>
  <ignoredErrors>
    <ignoredError sqref="W5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dimension ref="A1:AH50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28" width="3.28515625" customWidth="1"/>
    <col min="29" max="31" width="9.7109375" customWidth="1"/>
  </cols>
  <sheetData>
    <row r="1" spans="1:34" ht="170.1" customHeight="1">
      <c r="A1" s="175" t="s">
        <v>332</v>
      </c>
      <c r="B1" s="4" t="s">
        <v>3</v>
      </c>
      <c r="C1" s="5" t="s">
        <v>333</v>
      </c>
      <c r="D1" s="5" t="s">
        <v>5</v>
      </c>
      <c r="E1" s="5" t="s">
        <v>303</v>
      </c>
      <c r="F1" s="5" t="s">
        <v>334</v>
      </c>
      <c r="G1" s="5" t="s">
        <v>148</v>
      </c>
      <c r="H1" s="5" t="s">
        <v>335</v>
      </c>
      <c r="I1" s="5" t="s">
        <v>10</v>
      </c>
      <c r="J1" s="5" t="s">
        <v>9</v>
      </c>
      <c r="K1" s="5" t="s">
        <v>4</v>
      </c>
      <c r="L1" s="5" t="s">
        <v>336</v>
      </c>
      <c r="M1" s="5" t="s">
        <v>337</v>
      </c>
      <c r="N1" s="5" t="s">
        <v>338</v>
      </c>
      <c r="O1" s="5" t="s">
        <v>339</v>
      </c>
      <c r="P1" s="5" t="s">
        <v>11</v>
      </c>
      <c r="Q1" s="5" t="s">
        <v>12</v>
      </c>
      <c r="R1" s="5" t="s">
        <v>340</v>
      </c>
      <c r="S1" s="5" t="s">
        <v>233</v>
      </c>
      <c r="T1" s="5" t="s">
        <v>235</v>
      </c>
      <c r="U1" s="5" t="s">
        <v>341</v>
      </c>
      <c r="V1" s="5" t="s">
        <v>244</v>
      </c>
      <c r="W1" s="5" t="s">
        <v>342</v>
      </c>
      <c r="X1" s="5" t="s">
        <v>343</v>
      </c>
      <c r="Y1" s="5" t="s">
        <v>344</v>
      </c>
      <c r="Z1" s="5" t="s">
        <v>345</v>
      </c>
      <c r="AA1" s="5" t="s">
        <v>346</v>
      </c>
      <c r="AB1" s="5" t="s">
        <v>347</v>
      </c>
      <c r="AC1" s="5" t="s">
        <v>24</v>
      </c>
      <c r="AD1" s="5" t="s">
        <v>0</v>
      </c>
      <c r="AE1" s="5" t="s">
        <v>25</v>
      </c>
      <c r="AF1" s="136"/>
      <c r="AG1" s="137"/>
      <c r="AH1" s="137"/>
    </row>
    <row r="2" spans="1:34">
      <c r="A2" s="6" t="s">
        <v>256</v>
      </c>
      <c r="B2" s="7">
        <v>120</v>
      </c>
      <c r="C2" s="138"/>
      <c r="D2" s="138"/>
      <c r="E2" s="139"/>
      <c r="F2" s="139"/>
      <c r="G2" s="139"/>
      <c r="H2" s="138"/>
      <c r="I2" s="138"/>
      <c r="J2" s="138"/>
      <c r="K2" s="138"/>
      <c r="L2" s="138"/>
      <c r="M2" s="140"/>
      <c r="N2" s="140"/>
      <c r="O2" s="140"/>
      <c r="P2" s="48"/>
      <c r="Q2" s="48"/>
      <c r="R2" s="139"/>
      <c r="S2" s="48"/>
      <c r="T2" s="48"/>
      <c r="U2" s="48"/>
      <c r="V2" s="138"/>
      <c r="W2" s="138"/>
      <c r="X2" s="138"/>
      <c r="Y2" s="138"/>
      <c r="Z2" s="138"/>
      <c r="AA2" s="138"/>
      <c r="AB2" s="138"/>
      <c r="AC2" s="7"/>
      <c r="AD2" s="12">
        <f>AC2*B2+(P2+15*Q2+50*S2+75*T2+70*U2)</f>
        <v>0</v>
      </c>
      <c r="AE2" s="13">
        <f>2*AC2</f>
        <v>0</v>
      </c>
      <c r="AF2" s="141"/>
      <c r="AG2" s="102"/>
      <c r="AH2" s="102"/>
    </row>
    <row r="3" spans="1:34">
      <c r="A3" s="6" t="s">
        <v>260</v>
      </c>
      <c r="B3" s="7">
        <v>120</v>
      </c>
      <c r="C3" s="142"/>
      <c r="D3" s="142"/>
      <c r="E3" s="143"/>
      <c r="F3" s="143"/>
      <c r="G3" s="143"/>
      <c r="H3" s="142"/>
      <c r="I3" s="142"/>
      <c r="J3" s="142"/>
      <c r="K3" s="142"/>
      <c r="L3" s="142"/>
      <c r="M3" s="144"/>
      <c r="N3" s="144"/>
      <c r="O3" s="144"/>
      <c r="P3" s="48"/>
      <c r="Q3" s="48"/>
      <c r="R3" s="143"/>
      <c r="S3" s="48"/>
      <c r="T3" s="48"/>
      <c r="U3" s="48"/>
      <c r="V3" s="142"/>
      <c r="W3" s="142"/>
      <c r="X3" s="142"/>
      <c r="Y3" s="142"/>
      <c r="Z3" s="142"/>
      <c r="AA3" s="142"/>
      <c r="AB3" s="142"/>
      <c r="AC3" s="7"/>
      <c r="AD3" s="12">
        <f>AC3*B3+(P3+15*Q3+50*S3+75*T3+70*U3)</f>
        <v>0</v>
      </c>
      <c r="AE3" s="13">
        <f>3*AC3</f>
        <v>0</v>
      </c>
      <c r="AF3" s="141"/>
      <c r="AG3" s="102"/>
      <c r="AH3" s="102"/>
    </row>
    <row r="4" spans="1:34">
      <c r="A4" s="6" t="s">
        <v>348</v>
      </c>
      <c r="B4" s="7">
        <v>90</v>
      </c>
      <c r="C4" s="138"/>
      <c r="D4" s="48"/>
      <c r="E4" s="139"/>
      <c r="F4" s="139"/>
      <c r="G4" s="139"/>
      <c r="H4" s="138"/>
      <c r="I4" s="138"/>
      <c r="J4" s="138"/>
      <c r="K4" s="138"/>
      <c r="L4" s="138"/>
      <c r="M4" s="140"/>
      <c r="N4" s="140"/>
      <c r="O4" s="140"/>
      <c r="P4" s="48"/>
      <c r="Q4" s="138"/>
      <c r="R4" s="139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2"/>
      <c r="AD4" s="12">
        <f>AC4*B4+(5*D4+10*P4)</f>
        <v>0</v>
      </c>
      <c r="AE4" s="13">
        <f>3*AC4</f>
        <v>0</v>
      </c>
      <c r="AF4" s="141"/>
      <c r="AG4" s="102"/>
      <c r="AH4" s="102"/>
    </row>
    <row r="5" spans="1:34">
      <c r="A5" s="6" t="s">
        <v>349</v>
      </c>
      <c r="B5" s="7">
        <v>90</v>
      </c>
      <c r="C5" s="142"/>
      <c r="D5" s="142"/>
      <c r="E5" s="143"/>
      <c r="F5" s="143"/>
      <c r="G5" s="143"/>
      <c r="H5" s="142"/>
      <c r="I5" s="142"/>
      <c r="J5" s="142"/>
      <c r="K5" s="142"/>
      <c r="L5" s="142"/>
      <c r="M5" s="144"/>
      <c r="N5" s="144"/>
      <c r="O5" s="144"/>
      <c r="P5" s="142"/>
      <c r="Q5" s="142"/>
      <c r="R5" s="143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2"/>
      <c r="AD5" s="12">
        <f>AC5*B5</f>
        <v>0</v>
      </c>
      <c r="AE5" s="13">
        <f>1*AC5</f>
        <v>0</v>
      </c>
      <c r="AF5" s="141"/>
      <c r="AG5" s="102"/>
      <c r="AH5" s="102"/>
    </row>
    <row r="6" spans="1:34">
      <c r="A6" s="6" t="s">
        <v>350</v>
      </c>
      <c r="B6" s="7">
        <v>100</v>
      </c>
      <c r="C6" s="138"/>
      <c r="D6" s="138"/>
      <c r="E6" s="139"/>
      <c r="F6" s="139"/>
      <c r="G6" s="139"/>
      <c r="H6" s="138"/>
      <c r="I6" s="138"/>
      <c r="J6" s="138"/>
      <c r="K6" s="138"/>
      <c r="L6" s="138"/>
      <c r="M6" s="140"/>
      <c r="N6" s="140"/>
      <c r="O6" s="140"/>
      <c r="P6" s="138"/>
      <c r="Q6" s="138"/>
      <c r="R6" s="139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2"/>
      <c r="AD6" s="12">
        <f>AC6*B6</f>
        <v>0</v>
      </c>
      <c r="AE6" s="13">
        <f>1*AC6</f>
        <v>0</v>
      </c>
      <c r="AF6" s="141"/>
      <c r="AG6" s="102"/>
      <c r="AH6" s="102"/>
    </row>
    <row r="7" spans="1:34">
      <c r="A7" s="6" t="s">
        <v>351</v>
      </c>
      <c r="B7" s="7">
        <v>115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8"/>
      <c r="AD7" s="12">
        <f>AC7*B7</f>
        <v>0</v>
      </c>
      <c r="AE7" s="13">
        <f>2*AC7</f>
        <v>0</v>
      </c>
      <c r="AF7" s="141"/>
      <c r="AG7" s="102"/>
      <c r="AH7" s="102"/>
    </row>
    <row r="8" spans="1:34">
      <c r="A8" s="6" t="s">
        <v>352</v>
      </c>
      <c r="B8" s="7">
        <v>60</v>
      </c>
      <c r="C8" s="48"/>
      <c r="D8" s="48"/>
      <c r="E8" s="139"/>
      <c r="F8" s="139"/>
      <c r="G8" s="139"/>
      <c r="H8" s="48"/>
      <c r="I8" s="138"/>
      <c r="J8" s="138"/>
      <c r="K8" s="138"/>
      <c r="L8" s="138"/>
      <c r="M8" s="140"/>
      <c r="N8" s="140"/>
      <c r="O8" s="140"/>
      <c r="P8" s="48"/>
      <c r="Q8" s="138"/>
      <c r="R8" s="139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2"/>
      <c r="AD8" s="12">
        <f>AC8*B8+(1*C8+5*D8+5*H8+10*P8)</f>
        <v>0</v>
      </c>
      <c r="AE8" s="13">
        <f>2*AC8</f>
        <v>0</v>
      </c>
      <c r="AF8" s="141"/>
      <c r="AG8" s="102"/>
      <c r="AH8" s="102"/>
    </row>
    <row r="9" spans="1:34">
      <c r="A9" s="6" t="s">
        <v>353</v>
      </c>
      <c r="B9" s="7">
        <v>45</v>
      </c>
      <c r="C9" s="48"/>
      <c r="D9" s="48"/>
      <c r="E9" s="143"/>
      <c r="F9" s="143"/>
      <c r="G9" s="143"/>
      <c r="H9" s="48"/>
      <c r="I9" s="142"/>
      <c r="J9" s="142"/>
      <c r="K9" s="142"/>
      <c r="L9" s="142"/>
      <c r="M9" s="144"/>
      <c r="N9" s="144"/>
      <c r="O9" s="144"/>
      <c r="P9" s="48"/>
      <c r="Q9" s="142"/>
      <c r="R9" s="143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2"/>
      <c r="AD9" s="12">
        <f>AC9*B9+(1*C9+5*D9+5*H9+10*P9)</f>
        <v>0</v>
      </c>
      <c r="AE9" s="13">
        <f>2*AC9</f>
        <v>0</v>
      </c>
      <c r="AF9" s="141"/>
      <c r="AG9" s="102"/>
      <c r="AH9" s="102"/>
    </row>
    <row r="10" spans="1:34">
      <c r="A10" s="6" t="s">
        <v>354</v>
      </c>
      <c r="B10" s="19">
        <v>60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8"/>
      <c r="AD10" s="12">
        <f>AC10*B10</f>
        <v>0</v>
      </c>
      <c r="AE10" s="13">
        <f>2*AC10</f>
        <v>0</v>
      </c>
      <c r="AF10" s="141"/>
      <c r="AG10" s="102"/>
      <c r="AH10" s="102"/>
    </row>
    <row r="11" spans="1:34">
      <c r="A11" s="6" t="s">
        <v>355</v>
      </c>
      <c r="B11" s="19">
        <v>50</v>
      </c>
      <c r="C11" s="143"/>
      <c r="D11" s="69"/>
      <c r="E11" s="69"/>
      <c r="F11" s="143"/>
      <c r="G11" s="69"/>
      <c r="H11" s="143"/>
      <c r="I11" s="143"/>
      <c r="J11" s="143"/>
      <c r="K11" s="69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8"/>
      <c r="AD11" s="12">
        <f>AC11*B11+(5*D11+5*E11+5*G11+5*K11)</f>
        <v>0</v>
      </c>
      <c r="AE11" s="13">
        <f>2*AC11</f>
        <v>0</v>
      </c>
      <c r="AF11" s="141"/>
      <c r="AG11" s="102"/>
      <c r="AH11" s="102"/>
    </row>
    <row r="12" spans="1:34">
      <c r="A12" s="6" t="s">
        <v>356</v>
      </c>
      <c r="B12" s="19">
        <v>45</v>
      </c>
      <c r="C12" s="37"/>
      <c r="D12" s="37"/>
      <c r="E12" s="145"/>
      <c r="F12" s="139"/>
      <c r="G12" s="37"/>
      <c r="H12" s="139"/>
      <c r="I12" s="139"/>
      <c r="J12" s="139"/>
      <c r="K12" s="37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8"/>
      <c r="AD12" s="12">
        <f>AC12*B12+(1*C12+5*D12+5*E12+5*G12+5*K12)</f>
        <v>0</v>
      </c>
      <c r="AE12" s="13">
        <f>0*AC12</f>
        <v>0</v>
      </c>
      <c r="AF12" s="141"/>
      <c r="AG12" s="102"/>
      <c r="AH12" s="102"/>
    </row>
    <row r="13" spans="1:34">
      <c r="A13" s="6" t="s">
        <v>357</v>
      </c>
      <c r="B13" s="7">
        <v>275</v>
      </c>
      <c r="C13" s="142"/>
      <c r="D13" s="142"/>
      <c r="E13" s="143"/>
      <c r="F13" s="143"/>
      <c r="G13" s="143"/>
      <c r="H13" s="142"/>
      <c r="I13" s="142"/>
      <c r="J13" s="142"/>
      <c r="K13" s="142"/>
      <c r="L13" s="142"/>
      <c r="M13" s="144"/>
      <c r="N13" s="144"/>
      <c r="O13" s="144"/>
      <c r="P13" s="142"/>
      <c r="Q13" s="142"/>
      <c r="R13" s="143"/>
      <c r="S13" s="142"/>
      <c r="T13" s="142"/>
      <c r="U13" s="142"/>
      <c r="V13" s="48"/>
      <c r="W13" s="48"/>
      <c r="X13" s="48"/>
      <c r="Y13" s="48"/>
      <c r="Z13" s="48"/>
      <c r="AA13" s="48"/>
      <c r="AB13" s="48"/>
      <c r="AC13" s="12"/>
      <c r="AD13" s="12">
        <f>AC13*B13+(40*V13+25*W13+25*X13+20*Y13+20*Z13+20*AA13+20*AB13)</f>
        <v>0</v>
      </c>
      <c r="AE13" s="13">
        <f>2*AC13+1*W13</f>
        <v>0</v>
      </c>
      <c r="AF13" s="141"/>
      <c r="AG13" s="102"/>
      <c r="AH13" s="102"/>
    </row>
    <row r="14" spans="1:34">
      <c r="A14" s="6" t="s">
        <v>358</v>
      </c>
      <c r="B14" s="19">
        <v>65</v>
      </c>
      <c r="C14" s="139"/>
      <c r="D14" s="139"/>
      <c r="E14" s="139"/>
      <c r="F14" s="37"/>
      <c r="G14" s="139"/>
      <c r="H14" s="37"/>
      <c r="I14" s="139"/>
      <c r="J14" s="139"/>
      <c r="K14" s="37"/>
      <c r="L14" s="139"/>
      <c r="M14" s="139"/>
      <c r="N14" s="139"/>
      <c r="O14" s="139"/>
      <c r="P14" s="139"/>
      <c r="Q14" s="139"/>
      <c r="R14" s="37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8"/>
      <c r="AD14" s="12">
        <f>AC14*B14+(5*F14+5*H14+5*K14+10*R14)</f>
        <v>0</v>
      </c>
      <c r="AE14" s="13">
        <f>2*AC14</f>
        <v>0</v>
      </c>
      <c r="AF14" s="141"/>
      <c r="AG14" s="102"/>
      <c r="AH14" s="102"/>
    </row>
    <row r="15" spans="1:34">
      <c r="A15" s="6" t="s">
        <v>359</v>
      </c>
      <c r="B15" s="19">
        <v>50</v>
      </c>
      <c r="C15" s="142"/>
      <c r="D15" s="142"/>
      <c r="E15" s="143"/>
      <c r="F15" s="37"/>
      <c r="G15" s="143"/>
      <c r="H15" s="48"/>
      <c r="I15" s="142"/>
      <c r="J15" s="142"/>
      <c r="K15" s="48"/>
      <c r="L15" s="142"/>
      <c r="M15" s="144"/>
      <c r="N15" s="144"/>
      <c r="O15" s="144"/>
      <c r="P15" s="142"/>
      <c r="Q15" s="142"/>
      <c r="R15" s="37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8"/>
      <c r="AD15" s="12">
        <f>AC15*B15+(5*F15+5*H15+5*K15+10*R15)</f>
        <v>0</v>
      </c>
      <c r="AE15" s="13">
        <f>2*AC15</f>
        <v>0</v>
      </c>
      <c r="AF15" s="141"/>
      <c r="AG15" s="102"/>
      <c r="AH15" s="102"/>
    </row>
    <row r="16" spans="1:34">
      <c r="A16" s="6" t="s">
        <v>360</v>
      </c>
      <c r="B16" s="7">
        <v>6</v>
      </c>
      <c r="C16" s="48"/>
      <c r="D16" s="48"/>
      <c r="E16" s="139"/>
      <c r="F16" s="139"/>
      <c r="G16" s="139"/>
      <c r="H16" s="138"/>
      <c r="I16" s="48"/>
      <c r="J16" s="48"/>
      <c r="K16" s="138"/>
      <c r="L16" s="48"/>
      <c r="M16" s="122"/>
      <c r="N16" s="140"/>
      <c r="O16" s="140"/>
      <c r="P16" s="138"/>
      <c r="Q16" s="138"/>
      <c r="R16" s="139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2"/>
      <c r="AD16" s="12">
        <f>AC16*B16+(1*C16+1*D16+25*I16+20*J16+1*L16+2*M16)</f>
        <v>0</v>
      </c>
      <c r="AE16" s="22"/>
      <c r="AF16" s="141"/>
      <c r="AG16" s="102"/>
      <c r="AH16" s="102"/>
    </row>
    <row r="17" spans="1:34" ht="14.25" customHeight="1">
      <c r="A17" s="6" t="s">
        <v>361</v>
      </c>
      <c r="B17" s="7">
        <v>11</v>
      </c>
      <c r="C17" s="142"/>
      <c r="D17" s="48"/>
      <c r="E17" s="143"/>
      <c r="F17" s="143"/>
      <c r="G17" s="143"/>
      <c r="H17" s="48"/>
      <c r="I17" s="48"/>
      <c r="J17" s="142"/>
      <c r="K17" s="142"/>
      <c r="L17" s="48"/>
      <c r="M17" s="144"/>
      <c r="N17" s="144"/>
      <c r="O17" s="144"/>
      <c r="P17" s="142"/>
      <c r="Q17" s="142"/>
      <c r="R17" s="143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2"/>
      <c r="AD17" s="12">
        <f>AC17*B17+(1*D17+1*H17+25*I17+1*L17)</f>
        <v>0</v>
      </c>
      <c r="AE17" s="22"/>
      <c r="AF17" s="141"/>
      <c r="AG17" s="1"/>
      <c r="AH17" s="1"/>
    </row>
    <row r="18" spans="1:34">
      <c r="A18" s="23" t="s">
        <v>362</v>
      </c>
      <c r="B18" s="19">
        <v>8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9"/>
      <c r="AD18" s="12">
        <f>AC18*B18</f>
        <v>0</v>
      </c>
      <c r="AE18" s="22"/>
      <c r="AF18" s="141"/>
      <c r="AG18" s="1"/>
      <c r="AH18" s="1"/>
    </row>
    <row r="19" spans="1:34">
      <c r="A19" s="23" t="s">
        <v>363</v>
      </c>
      <c r="B19" s="19">
        <v>13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8"/>
      <c r="AD19" s="12">
        <f>AC19*B19</f>
        <v>0</v>
      </c>
      <c r="AE19" s="22"/>
      <c r="AF19" s="141"/>
      <c r="AG19" s="1"/>
      <c r="AH19" s="1"/>
    </row>
    <row r="20" spans="1:34">
      <c r="A20" s="23" t="s">
        <v>364</v>
      </c>
      <c r="B20" s="19">
        <v>7</v>
      </c>
      <c r="C20" s="37"/>
      <c r="D20" s="37"/>
      <c r="E20" s="139"/>
      <c r="F20" s="139"/>
      <c r="G20" s="139"/>
      <c r="H20" s="139"/>
      <c r="I20" s="139"/>
      <c r="J20" s="139"/>
      <c r="K20" s="37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8"/>
      <c r="AD20" s="12">
        <f>AC20*B20+(1*C20+1*D20+1*K20)</f>
        <v>0</v>
      </c>
      <c r="AE20" s="22"/>
      <c r="AF20" s="141"/>
      <c r="AG20" s="1"/>
      <c r="AH20" s="1"/>
    </row>
    <row r="21" spans="1:34">
      <c r="A21" s="34" t="s">
        <v>365</v>
      </c>
      <c r="B21" s="12">
        <v>10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8"/>
      <c r="AD21" s="12">
        <f>AC21*B21</f>
        <v>0</v>
      </c>
      <c r="AE21" s="22"/>
      <c r="AF21" s="141"/>
      <c r="AG21" s="1"/>
      <c r="AH21" s="1"/>
    </row>
    <row r="22" spans="1:34">
      <c r="A22" s="34" t="s">
        <v>366</v>
      </c>
      <c r="B22" s="12">
        <v>10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8"/>
      <c r="AD22" s="12">
        <f>AC22*B22</f>
        <v>0</v>
      </c>
      <c r="AE22" s="22"/>
      <c r="AF22" s="141"/>
      <c r="AG22" s="1"/>
      <c r="AH22" s="1"/>
    </row>
    <row r="23" spans="1:34">
      <c r="A23" s="34" t="s">
        <v>367</v>
      </c>
      <c r="B23" s="12">
        <v>9</v>
      </c>
      <c r="C23" s="143"/>
      <c r="D23" s="37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8"/>
      <c r="AD23" s="12">
        <f>AC23*B23+(1*D23)</f>
        <v>0</v>
      </c>
      <c r="AE23" s="22"/>
      <c r="AF23" s="141"/>
      <c r="AG23" s="1"/>
      <c r="AH23" s="1"/>
    </row>
    <row r="24" spans="1:34">
      <c r="A24" s="34" t="s">
        <v>368</v>
      </c>
      <c r="B24" s="12">
        <v>8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8"/>
      <c r="AD24" s="12">
        <f>AC24*B24</f>
        <v>0</v>
      </c>
      <c r="AE24" s="22"/>
      <c r="AF24" s="141"/>
      <c r="AG24" s="1"/>
      <c r="AH24" s="1"/>
    </row>
    <row r="25" spans="1:34">
      <c r="A25" s="34" t="s">
        <v>369</v>
      </c>
      <c r="B25" s="12">
        <v>9</v>
      </c>
      <c r="C25" s="143"/>
      <c r="D25" s="143"/>
      <c r="E25" s="143"/>
      <c r="F25" s="143"/>
      <c r="G25" s="143"/>
      <c r="H25" s="143"/>
      <c r="I25" s="69"/>
      <c r="J25" s="37"/>
      <c r="K25" s="143"/>
      <c r="L25" s="143"/>
      <c r="M25" s="143"/>
      <c r="N25" s="37"/>
      <c r="O25" s="37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8"/>
      <c r="AD25" s="12">
        <f>AC25*B25+(25*I25+20*J25+2*N25+1*O25)</f>
        <v>0</v>
      </c>
      <c r="AE25" s="22"/>
      <c r="AF25" s="141"/>
      <c r="AG25" s="1"/>
      <c r="AH25" s="1"/>
    </row>
    <row r="26" spans="1:34">
      <c r="A26" s="34" t="s">
        <v>370</v>
      </c>
      <c r="B26" s="19">
        <v>8</v>
      </c>
      <c r="C26" s="37"/>
      <c r="D26" s="139"/>
      <c r="E26" s="139"/>
      <c r="F26" s="37"/>
      <c r="G26" s="139"/>
      <c r="H26" s="139"/>
      <c r="I26" s="37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7"/>
      <c r="AD26" s="12">
        <f>AC26*B26+(1*C26+1*F26+25*I26)</f>
        <v>0</v>
      </c>
      <c r="AE26" s="22"/>
      <c r="AF26" s="141"/>
      <c r="AG26" s="123"/>
      <c r="AH26" s="123"/>
    </row>
    <row r="27" spans="1:34">
      <c r="A27" s="6" t="s">
        <v>371</v>
      </c>
      <c r="B27" s="7">
        <v>17</v>
      </c>
      <c r="C27" s="37"/>
      <c r="D27" s="143"/>
      <c r="E27" s="143"/>
      <c r="F27" s="37"/>
      <c r="G27" s="143"/>
      <c r="H27" s="143"/>
      <c r="I27" s="37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8"/>
      <c r="AD27" s="12">
        <f>AC27*B27+(1*C27+1*F27+25*I27)</f>
        <v>0</v>
      </c>
      <c r="AE27" s="22"/>
      <c r="AF27" s="141"/>
      <c r="AG27" s="1"/>
      <c r="AH27" s="1"/>
    </row>
    <row r="28" spans="1:34">
      <c r="A28" s="6" t="s">
        <v>372</v>
      </c>
      <c r="B28" s="7">
        <v>23</v>
      </c>
      <c r="C28" s="139"/>
      <c r="D28" s="139"/>
      <c r="E28" s="139"/>
      <c r="F28" s="139"/>
      <c r="G28" s="37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8"/>
      <c r="AD28" s="12">
        <f>AC28*B28+(1*G28)</f>
        <v>0</v>
      </c>
      <c r="AE28" s="22"/>
      <c r="AF28" s="141"/>
      <c r="AG28" s="1"/>
      <c r="AH28" s="1"/>
    </row>
    <row r="29" spans="1:34">
      <c r="A29" s="2"/>
      <c r="B29" s="27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2"/>
      <c r="AF29" s="141"/>
      <c r="AG29" s="1"/>
      <c r="AH29" s="1"/>
    </row>
    <row r="30" spans="1:34" ht="15.75" thickBot="1">
      <c r="A30" s="2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 t="s">
        <v>46</v>
      </c>
      <c r="AD30" s="30" t="s">
        <v>47</v>
      </c>
      <c r="AE30" s="27" t="s">
        <v>46</v>
      </c>
      <c r="AF30" s="141"/>
      <c r="AG30" s="1"/>
      <c r="AH30" s="1"/>
    </row>
    <row r="31" spans="1:34" ht="15.75" thickBot="1">
      <c r="A31" s="2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31">
        <f>SUM(AC2:AC28)</f>
        <v>0</v>
      </c>
      <c r="AD31" s="32">
        <f>SUM(AD2:AD28)</f>
        <v>0</v>
      </c>
      <c r="AE31" s="124">
        <f>SUM(AE2:AE15)</f>
        <v>0</v>
      </c>
      <c r="AF31" s="146"/>
      <c r="AG31" s="1"/>
      <c r="AH31" s="1"/>
    </row>
    <row r="32" spans="1:34">
      <c r="A32" s="2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12"/>
      <c r="AD32" s="27"/>
      <c r="AE32" s="22"/>
      <c r="AF32" s="141"/>
      <c r="AG32" s="1"/>
      <c r="AH32" s="1"/>
    </row>
    <row r="33" spans="1:34">
      <c r="A33" s="2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 t="s">
        <v>1</v>
      </c>
      <c r="AD33" s="27"/>
      <c r="AE33" s="22"/>
      <c r="AF33" s="141"/>
      <c r="AG33" s="1"/>
      <c r="AH33" s="1"/>
    </row>
    <row r="34" spans="1:34">
      <c r="A34" s="2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37">
        <f>ROUNDUP(AC31/3,0)</f>
        <v>0</v>
      </c>
      <c r="AD34" s="35"/>
      <c r="AE34" s="22"/>
      <c r="AF34" s="141"/>
      <c r="AG34" s="1"/>
      <c r="AH34" s="1"/>
    </row>
    <row r="35" spans="1:34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"/>
      <c r="AD35" s="1"/>
      <c r="AE35" s="22"/>
      <c r="AF35" s="141"/>
      <c r="AG35" s="1"/>
      <c r="AH35" s="1"/>
    </row>
    <row r="36" spans="1:34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"/>
      <c r="AE36" s="22"/>
      <c r="AF36" s="141"/>
      <c r="AG36" s="1"/>
      <c r="AH36" s="1"/>
    </row>
    <row r="37" spans="1:34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"/>
      <c r="AE37" s="22"/>
      <c r="AF37" s="141"/>
      <c r="AG37" s="1"/>
      <c r="AH37" s="1"/>
    </row>
    <row r="38" spans="1:34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"/>
      <c r="AE38" s="22"/>
      <c r="AF38" s="141"/>
      <c r="AG38" s="1"/>
      <c r="AH38" s="1"/>
    </row>
    <row r="39" spans="1:34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"/>
      <c r="AE39" s="22"/>
      <c r="AF39" s="141"/>
      <c r="AG39" s="1"/>
      <c r="AH39" s="1"/>
    </row>
    <row r="40" spans="1:34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"/>
      <c r="AE40" s="22"/>
      <c r="AF40" s="141"/>
      <c r="AG40" s="1"/>
      <c r="AH40" s="1"/>
    </row>
    <row r="41" spans="1:34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"/>
      <c r="AE41" s="22"/>
      <c r="AF41" s="141"/>
      <c r="AG41" s="1"/>
      <c r="AH41" s="1"/>
    </row>
    <row r="42" spans="1:34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"/>
      <c r="AE42" s="22"/>
      <c r="AF42" s="141"/>
      <c r="AG42" s="1"/>
      <c r="AH42" s="1"/>
    </row>
    <row r="43" spans="1:34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"/>
      <c r="AE43" s="22"/>
      <c r="AF43" s="141"/>
      <c r="AG43" s="1"/>
      <c r="AH43" s="1"/>
    </row>
    <row r="44" spans="1:34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"/>
      <c r="AE44" s="22"/>
      <c r="AF44" s="141"/>
      <c r="AG44" s="1"/>
      <c r="AH44" s="1"/>
    </row>
    <row r="45" spans="1:34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"/>
      <c r="AE45" s="22"/>
      <c r="AF45" s="141"/>
      <c r="AG45" s="1"/>
      <c r="AH45" s="1"/>
    </row>
    <row r="46" spans="1:34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"/>
      <c r="AE46" s="22"/>
      <c r="AF46" s="141"/>
      <c r="AG46" s="1"/>
      <c r="AH46" s="1"/>
    </row>
    <row r="47" spans="1:34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"/>
      <c r="AE47" s="22"/>
      <c r="AF47" s="141"/>
      <c r="AG47" s="1"/>
      <c r="AH47" s="1"/>
    </row>
    <row r="48" spans="1:34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"/>
      <c r="AE48" s="22"/>
      <c r="AF48" s="141"/>
      <c r="AG48" s="1"/>
      <c r="AH48" s="1"/>
    </row>
    <row r="49" spans="1:3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"/>
      <c r="AE49" s="22"/>
      <c r="AF49" s="141"/>
      <c r="AG49" s="1"/>
      <c r="AH49" s="1"/>
    </row>
    <row r="50" spans="1:34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"/>
      <c r="AE50" s="22"/>
      <c r="AF50" s="141"/>
      <c r="AG50" s="1"/>
      <c r="AH50" s="1"/>
    </row>
  </sheetData>
  <hyperlinks>
    <hyperlink ref="A1" location="'Huestes de la Oscuridad'!A1" display="Los Reinos Caídos: Harad y Umbar"/>
  </hyperlinks>
  <pageMargins left="0.7" right="0.7" top="0.75" bottom="0.75" header="0.3" footer="0.3"/>
  <ignoredErrors>
    <ignoredError sqref="AD20 AD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S201"/>
  <sheetViews>
    <sheetView workbookViewId="0">
      <selection activeCell="B5" sqref="B5:C5"/>
    </sheetView>
  </sheetViews>
  <sheetFormatPr baseColWidth="10" defaultRowHeight="15"/>
  <cols>
    <col min="1" max="1" width="1.5703125" customWidth="1"/>
    <col min="14" max="14" width="1.5703125" customWidth="1"/>
  </cols>
  <sheetData>
    <row r="1" spans="1:19" ht="7.5" customHeight="1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"/>
      <c r="P1" s="1"/>
      <c r="Q1" s="1"/>
      <c r="R1" s="1"/>
      <c r="S1" s="1"/>
    </row>
    <row r="2" spans="1:19">
      <c r="A2" s="182"/>
      <c r="B2" s="232" t="s">
        <v>443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182"/>
      <c r="O2" s="1"/>
      <c r="P2" s="1"/>
      <c r="Q2" s="1"/>
      <c r="R2" s="1"/>
      <c r="S2" s="1"/>
    </row>
    <row r="3" spans="1:19">
      <c r="A3" s="182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182"/>
      <c r="O3" s="1"/>
      <c r="P3" s="1"/>
      <c r="Q3" s="1"/>
      <c r="R3" s="1"/>
      <c r="S3" s="1"/>
    </row>
    <row r="4" spans="1:19">
      <c r="A4" s="18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182"/>
      <c r="O4" s="1"/>
      <c r="P4" s="1"/>
      <c r="Q4" s="1"/>
      <c r="R4" s="1"/>
      <c r="S4" s="1"/>
    </row>
    <row r="5" spans="1:19">
      <c r="A5" s="183"/>
      <c r="B5" s="233" t="s">
        <v>423</v>
      </c>
      <c r="C5" s="233"/>
      <c r="D5" s="2"/>
      <c r="E5" s="2"/>
      <c r="F5" s="191"/>
      <c r="G5" s="191"/>
      <c r="H5" s="191"/>
      <c r="I5" s="191"/>
      <c r="J5" s="191"/>
      <c r="K5" s="191"/>
      <c r="L5" s="191"/>
      <c r="M5" s="2"/>
      <c r="N5" s="183"/>
      <c r="O5" s="1"/>
      <c r="P5" s="1"/>
      <c r="Q5" s="1"/>
      <c r="R5" s="1"/>
      <c r="S5" s="1"/>
    </row>
    <row r="6" spans="1:19">
      <c r="A6" s="183"/>
      <c r="B6" s="2"/>
      <c r="C6" s="2"/>
      <c r="D6" s="2"/>
      <c r="E6" s="2"/>
      <c r="F6" s="192"/>
      <c r="G6" s="192"/>
      <c r="H6" s="192" t="s">
        <v>444</v>
      </c>
      <c r="I6" s="192"/>
      <c r="J6" s="192" t="s">
        <v>447</v>
      </c>
      <c r="K6" s="192"/>
      <c r="L6" s="192" t="s">
        <v>0</v>
      </c>
      <c r="M6" s="2"/>
      <c r="N6" s="183"/>
      <c r="O6" s="1"/>
      <c r="P6" s="1"/>
      <c r="Q6" s="1"/>
      <c r="R6" s="1"/>
      <c r="S6" s="1"/>
    </row>
    <row r="7" spans="1:19">
      <c r="A7" s="183"/>
      <c r="B7" s="2"/>
      <c r="C7" s="2"/>
      <c r="D7" s="2"/>
      <c r="E7" s="2"/>
      <c r="F7" s="192"/>
      <c r="G7" s="192"/>
      <c r="H7" s="192" t="s">
        <v>445</v>
      </c>
      <c r="I7" s="192"/>
      <c r="J7" s="192" t="s">
        <v>445</v>
      </c>
      <c r="K7" s="192"/>
      <c r="L7" s="192" t="s">
        <v>445</v>
      </c>
      <c r="M7" s="2"/>
      <c r="N7" s="183"/>
      <c r="O7" s="1"/>
      <c r="P7" s="1"/>
      <c r="Q7" s="1"/>
      <c r="R7" s="1"/>
      <c r="S7" s="1"/>
    </row>
    <row r="8" spans="1:19" ht="15.75" thickBot="1">
      <c r="A8" s="183"/>
      <c r="B8" s="2"/>
      <c r="C8" s="2"/>
      <c r="D8" s="2"/>
      <c r="E8" s="2"/>
      <c r="F8" s="192" t="s">
        <v>449</v>
      </c>
      <c r="G8" s="192"/>
      <c r="H8" s="192" t="s">
        <v>446</v>
      </c>
      <c r="I8" s="192"/>
      <c r="J8" s="192" t="s">
        <v>1</v>
      </c>
      <c r="K8" s="192"/>
      <c r="L8" s="192" t="s">
        <v>448</v>
      </c>
      <c r="M8" s="2"/>
      <c r="N8" s="183"/>
      <c r="O8" s="1"/>
      <c r="P8" s="1"/>
      <c r="Q8" s="1"/>
      <c r="R8" s="1"/>
      <c r="S8" s="1"/>
    </row>
    <row r="9" spans="1:19" ht="15.75" thickBot="1">
      <c r="A9" s="183"/>
      <c r="B9" s="198" t="s">
        <v>424</v>
      </c>
      <c r="C9" s="199"/>
      <c r="D9" s="2"/>
      <c r="E9" s="2"/>
      <c r="F9" s="188">
        <f>'Minas Tirith'!X24</f>
        <v>0</v>
      </c>
      <c r="G9" s="193"/>
      <c r="H9" s="188">
        <f>'Minas Tirith'!W24</f>
        <v>0</v>
      </c>
      <c r="I9" s="193"/>
      <c r="J9" s="188">
        <f>'Minas Tirith'!W27</f>
        <v>0</v>
      </c>
      <c r="K9" s="193"/>
      <c r="L9" s="188">
        <f>'Minas Tirith'!Y24</f>
        <v>0</v>
      </c>
      <c r="M9" s="2"/>
      <c r="N9" s="183"/>
      <c r="O9" s="1"/>
      <c r="P9" s="1"/>
      <c r="Q9" s="1"/>
      <c r="R9" s="1"/>
      <c r="S9" s="1"/>
    </row>
    <row r="10" spans="1:19">
      <c r="A10" s="183"/>
      <c r="B10" s="199"/>
      <c r="C10" s="199"/>
      <c r="D10" s="2"/>
      <c r="E10" s="2"/>
      <c r="F10" s="193"/>
      <c r="G10" s="193"/>
      <c r="H10" s="193"/>
      <c r="I10" s="193"/>
      <c r="J10" s="193"/>
      <c r="K10" s="193"/>
      <c r="L10" s="193"/>
      <c r="M10" s="2"/>
      <c r="N10" s="183"/>
      <c r="O10" s="1"/>
      <c r="P10" s="1"/>
      <c r="Q10" s="1"/>
      <c r="R10" s="1"/>
      <c r="S10" s="1"/>
    </row>
    <row r="11" spans="1:19" ht="15.75" thickBot="1">
      <c r="A11" s="183"/>
      <c r="B11" s="177"/>
      <c r="C11" s="177"/>
      <c r="D11" s="1"/>
      <c r="E11" s="1"/>
      <c r="F11" s="194"/>
      <c r="G11" s="194"/>
      <c r="H11" s="194"/>
      <c r="I11" s="194"/>
      <c r="J11" s="194"/>
      <c r="K11" s="194"/>
      <c r="L11" s="194"/>
      <c r="M11" s="2"/>
      <c r="N11" s="183"/>
      <c r="O11" s="1"/>
      <c r="P11" s="1"/>
      <c r="Q11" s="1"/>
      <c r="R11" s="1"/>
      <c r="S11" s="1"/>
    </row>
    <row r="12" spans="1:19" ht="15.75" thickBot="1">
      <c r="A12" s="183"/>
      <c r="B12" s="198" t="s">
        <v>425</v>
      </c>
      <c r="C12" s="199"/>
      <c r="D12" s="2"/>
      <c r="E12" s="2"/>
      <c r="F12" s="188">
        <f>'Los Feudos'!L17</f>
        <v>0</v>
      </c>
      <c r="G12" s="193"/>
      <c r="H12" s="188">
        <f>'Los Feudos'!K17</f>
        <v>0</v>
      </c>
      <c r="I12" s="193"/>
      <c r="J12" s="188">
        <f>'Los Feudos'!K20</f>
        <v>0</v>
      </c>
      <c r="K12" s="193"/>
      <c r="L12" s="188">
        <f>'Los Feudos'!M17</f>
        <v>0</v>
      </c>
      <c r="M12" s="2"/>
      <c r="N12" s="183"/>
      <c r="O12" s="1"/>
      <c r="P12" s="1"/>
      <c r="Q12" s="1"/>
      <c r="R12" s="1"/>
      <c r="S12" s="1"/>
    </row>
    <row r="13" spans="1:19">
      <c r="A13" s="183"/>
      <c r="B13" s="177"/>
      <c r="C13" s="177"/>
      <c r="D13" s="1"/>
      <c r="E13" s="1"/>
      <c r="F13" s="194"/>
      <c r="G13" s="194"/>
      <c r="H13" s="194"/>
      <c r="I13" s="194"/>
      <c r="J13" s="194"/>
      <c r="K13" s="194"/>
      <c r="L13" s="194"/>
      <c r="M13" s="2"/>
      <c r="N13" s="183"/>
      <c r="O13" s="1"/>
      <c r="P13" s="1"/>
      <c r="Q13" s="1"/>
      <c r="R13" s="1"/>
      <c r="S13" s="1"/>
    </row>
    <row r="14" spans="1:19" ht="15.75" thickBot="1">
      <c r="A14" s="183"/>
      <c r="B14" s="177"/>
      <c r="C14" s="177"/>
      <c r="D14" s="1"/>
      <c r="E14" s="1"/>
      <c r="F14" s="194"/>
      <c r="G14" s="194"/>
      <c r="H14" s="194"/>
      <c r="I14" s="194"/>
      <c r="J14" s="194"/>
      <c r="K14" s="194"/>
      <c r="L14" s="194"/>
      <c r="M14" s="2"/>
      <c r="N14" s="183"/>
      <c r="O14" s="1"/>
      <c r="P14" s="1"/>
      <c r="Q14" s="1"/>
      <c r="R14" s="1"/>
      <c r="S14" s="1"/>
    </row>
    <row r="15" spans="1:19" ht="15.75" thickBot="1">
      <c r="A15" s="183"/>
      <c r="B15" s="198" t="s">
        <v>426</v>
      </c>
      <c r="C15" s="199"/>
      <c r="D15" s="2"/>
      <c r="E15" s="2"/>
      <c r="F15" s="188">
        <f>Rohan!S22</f>
        <v>0</v>
      </c>
      <c r="G15" s="193"/>
      <c r="H15" s="188">
        <f>Rohan!R22</f>
        <v>0</v>
      </c>
      <c r="I15" s="193"/>
      <c r="J15" s="188">
        <f>Rohan!R25</f>
        <v>0</v>
      </c>
      <c r="K15" s="193"/>
      <c r="L15" s="188">
        <f>Rohan!T22</f>
        <v>0</v>
      </c>
      <c r="M15" s="2"/>
      <c r="N15" s="183"/>
      <c r="O15" s="1"/>
      <c r="P15" s="1"/>
      <c r="Q15" s="1"/>
      <c r="R15" s="1"/>
      <c r="S15" s="1"/>
    </row>
    <row r="16" spans="1:19">
      <c r="A16" s="183"/>
      <c r="B16" s="177"/>
      <c r="C16" s="177"/>
      <c r="D16" s="1"/>
      <c r="E16" s="1"/>
      <c r="F16" s="194"/>
      <c r="G16" s="194"/>
      <c r="H16" s="194"/>
      <c r="I16" s="194"/>
      <c r="J16" s="194"/>
      <c r="K16" s="194"/>
      <c r="L16" s="194"/>
      <c r="M16" s="2"/>
      <c r="N16" s="183"/>
      <c r="O16" s="1"/>
      <c r="P16" s="1"/>
      <c r="Q16" s="1"/>
      <c r="R16" s="1"/>
      <c r="S16" s="1"/>
    </row>
    <row r="17" spans="1:19" ht="15.75" thickBot="1">
      <c r="A17" s="183"/>
      <c r="B17" s="177"/>
      <c r="C17" s="177"/>
      <c r="D17" s="1"/>
      <c r="E17" s="1"/>
      <c r="F17" s="194"/>
      <c r="G17" s="194"/>
      <c r="H17" s="194"/>
      <c r="I17" s="194"/>
      <c r="J17" s="194"/>
      <c r="K17" s="194"/>
      <c r="L17" s="194"/>
      <c r="M17" s="2"/>
      <c r="N17" s="183"/>
      <c r="O17" s="1"/>
      <c r="P17" s="1"/>
      <c r="Q17" s="1"/>
      <c r="R17" s="1"/>
      <c r="S17" s="1"/>
    </row>
    <row r="18" spans="1:19" ht="15.75" thickBot="1">
      <c r="A18" s="183"/>
      <c r="B18" s="198" t="s">
        <v>427</v>
      </c>
      <c r="C18" s="199"/>
      <c r="D18" s="2"/>
      <c r="E18" s="2"/>
      <c r="F18" s="188">
        <f>Arnor!M15</f>
        <v>0</v>
      </c>
      <c r="G18" s="193"/>
      <c r="H18" s="188">
        <f>Arnor!L15</f>
        <v>0</v>
      </c>
      <c r="I18" s="193"/>
      <c r="J18" s="188">
        <f>Arnor!L18</f>
        <v>0</v>
      </c>
      <c r="K18" s="193"/>
      <c r="L18" s="188">
        <f>Arnor!N15</f>
        <v>0</v>
      </c>
      <c r="M18" s="2"/>
      <c r="N18" s="183"/>
      <c r="O18" s="1"/>
      <c r="P18" s="1"/>
      <c r="Q18" s="1"/>
      <c r="R18" s="1"/>
      <c r="S18" s="1"/>
    </row>
    <row r="19" spans="1:19">
      <c r="A19" s="183"/>
      <c r="B19" s="199"/>
      <c r="C19" s="199"/>
      <c r="D19" s="2"/>
      <c r="E19" s="2"/>
      <c r="F19" s="193"/>
      <c r="G19" s="193"/>
      <c r="H19" s="193"/>
      <c r="I19" s="193"/>
      <c r="J19" s="193"/>
      <c r="K19" s="193"/>
      <c r="L19" s="193"/>
      <c r="M19" s="2"/>
      <c r="N19" s="183"/>
      <c r="O19" s="1"/>
      <c r="P19" s="1"/>
      <c r="Q19" s="1"/>
      <c r="R19" s="1"/>
      <c r="S19" s="1"/>
    </row>
    <row r="20" spans="1:19" ht="15.75" thickBot="1">
      <c r="A20" s="183"/>
      <c r="B20" s="177"/>
      <c r="C20" s="177"/>
      <c r="D20" s="1"/>
      <c r="E20" s="1"/>
      <c r="F20" s="194"/>
      <c r="G20" s="194"/>
      <c r="H20" s="194"/>
      <c r="I20" s="194"/>
      <c r="J20" s="194"/>
      <c r="K20" s="194"/>
      <c r="L20" s="194"/>
      <c r="M20" s="2"/>
      <c r="N20" s="183"/>
      <c r="O20" s="1"/>
      <c r="P20" s="1"/>
      <c r="Q20" s="1"/>
      <c r="R20" s="1"/>
      <c r="S20" s="1"/>
    </row>
    <row r="21" spans="1:19" ht="15.75" thickBot="1">
      <c r="A21" s="183"/>
      <c r="B21" s="198" t="s">
        <v>428</v>
      </c>
      <c r="C21" s="199"/>
      <c r="D21" s="2"/>
      <c r="E21" s="2"/>
      <c r="F21" s="188">
        <f>Númenor!K8</f>
        <v>0</v>
      </c>
      <c r="G21" s="193"/>
      <c r="H21" s="188">
        <f>Númenor!J8</f>
        <v>0</v>
      </c>
      <c r="I21" s="193"/>
      <c r="J21" s="188">
        <f>Númenor!J11</f>
        <v>0</v>
      </c>
      <c r="K21" s="193"/>
      <c r="L21" s="188">
        <f>Númenor!L8</f>
        <v>0</v>
      </c>
      <c r="M21" s="2"/>
      <c r="N21" s="183"/>
      <c r="O21" s="1"/>
      <c r="P21" s="1"/>
      <c r="Q21" s="1"/>
      <c r="R21" s="1"/>
      <c r="S21" s="1"/>
    </row>
    <row r="22" spans="1:19">
      <c r="A22" s="183"/>
      <c r="B22" s="1"/>
      <c r="C22" s="1"/>
      <c r="D22" s="1"/>
      <c r="E22" s="1"/>
      <c r="F22" s="194"/>
      <c r="G22" s="194"/>
      <c r="H22" s="194"/>
      <c r="I22" s="194"/>
      <c r="J22" s="194"/>
      <c r="K22" s="194"/>
      <c r="L22" s="194"/>
      <c r="M22" s="2"/>
      <c r="N22" s="183"/>
      <c r="O22" s="1"/>
      <c r="P22" s="1"/>
      <c r="Q22" s="1"/>
      <c r="R22" s="1"/>
      <c r="S22" s="1"/>
    </row>
    <row r="23" spans="1:19" ht="15.75" thickBot="1">
      <c r="A23" s="183"/>
      <c r="B23" s="2"/>
      <c r="C23" s="2"/>
      <c r="D23" s="2"/>
      <c r="E23" s="2"/>
      <c r="F23" s="193"/>
      <c r="G23" s="193"/>
      <c r="H23" s="193"/>
      <c r="I23" s="193"/>
      <c r="J23" s="193"/>
      <c r="K23" s="193"/>
      <c r="L23" s="193"/>
      <c r="M23" s="2"/>
      <c r="N23" s="183"/>
      <c r="O23" s="1"/>
      <c r="P23" s="1"/>
      <c r="Q23" s="1"/>
      <c r="R23" s="1"/>
      <c r="S23" s="1"/>
    </row>
    <row r="24" spans="1:19" ht="15.75" thickBot="1">
      <c r="A24" s="183"/>
      <c r="B24" s="200" t="s">
        <v>429</v>
      </c>
      <c r="C24" s="200"/>
      <c r="D24" s="201"/>
      <c r="E24" s="2"/>
      <c r="F24" s="188">
        <f>'Eregion y Rivendell'!Q17</f>
        <v>0</v>
      </c>
      <c r="G24" s="193"/>
      <c r="H24" s="188">
        <f>'Eregion y Rivendell'!P17</f>
        <v>0</v>
      </c>
      <c r="I24" s="193"/>
      <c r="J24" s="188">
        <f>'Eregion y Rivendell'!P20</f>
        <v>0</v>
      </c>
      <c r="K24" s="193"/>
      <c r="L24" s="188">
        <f>'Eregion y Rivendell'!R17</f>
        <v>0</v>
      </c>
      <c r="M24" s="2"/>
      <c r="N24" s="183"/>
      <c r="O24" s="1"/>
      <c r="P24" s="1"/>
      <c r="Q24" s="1"/>
      <c r="R24" s="1"/>
      <c r="S24" s="1"/>
    </row>
    <row r="25" spans="1:19">
      <c r="A25" s="183"/>
      <c r="B25" s="201"/>
      <c r="C25" s="201"/>
      <c r="D25" s="201"/>
      <c r="E25" s="2"/>
      <c r="F25" s="193"/>
      <c r="G25" s="193"/>
      <c r="H25" s="193"/>
      <c r="I25" s="193"/>
      <c r="J25" s="193"/>
      <c r="K25" s="193"/>
      <c r="L25" s="193"/>
      <c r="M25" s="2"/>
      <c r="N25" s="183"/>
      <c r="O25" s="1"/>
      <c r="P25" s="1"/>
      <c r="Q25" s="1"/>
      <c r="R25" s="1"/>
      <c r="S25" s="1"/>
    </row>
    <row r="26" spans="1:19" ht="15.75" thickBot="1">
      <c r="A26" s="183"/>
      <c r="B26" s="178"/>
      <c r="C26" s="178"/>
      <c r="D26" s="178"/>
      <c r="E26" s="1"/>
      <c r="F26" s="194"/>
      <c r="G26" s="194"/>
      <c r="H26" s="194"/>
      <c r="I26" s="194"/>
      <c r="J26" s="194"/>
      <c r="K26" s="194"/>
      <c r="L26" s="194"/>
      <c r="M26" s="2"/>
      <c r="N26" s="183"/>
      <c r="O26" s="1"/>
      <c r="P26" s="1"/>
      <c r="Q26" s="1"/>
      <c r="R26" s="1"/>
      <c r="S26" s="1"/>
    </row>
    <row r="27" spans="1:19" ht="15.75" thickBot="1">
      <c r="A27" s="183"/>
      <c r="B27" s="200" t="s">
        <v>430</v>
      </c>
      <c r="C27" s="200"/>
      <c r="D27" s="200"/>
      <c r="E27" s="2"/>
      <c r="F27" s="188">
        <f>'Lothlórien y el Bosque Negro'!S19</f>
        <v>0</v>
      </c>
      <c r="G27" s="193"/>
      <c r="H27" s="188">
        <f>'Lothlórien y el Bosque Negro'!R19</f>
        <v>0</v>
      </c>
      <c r="I27" s="193"/>
      <c r="J27" s="188">
        <f>'Lothlórien y el Bosque Negro'!R22</f>
        <v>0</v>
      </c>
      <c r="K27" s="193"/>
      <c r="L27" s="188">
        <f>'Lothlórien y el Bosque Negro'!T19</f>
        <v>0</v>
      </c>
      <c r="M27" s="2"/>
      <c r="N27" s="183"/>
      <c r="O27" s="1"/>
      <c r="P27" s="1"/>
      <c r="Q27" s="1"/>
      <c r="R27" s="1"/>
      <c r="S27" s="1"/>
    </row>
    <row r="28" spans="1:19">
      <c r="A28" s="183"/>
      <c r="B28" s="178"/>
      <c r="C28" s="178"/>
      <c r="D28" s="178"/>
      <c r="E28" s="1"/>
      <c r="F28" s="194"/>
      <c r="G28" s="194"/>
      <c r="H28" s="194"/>
      <c r="I28" s="194"/>
      <c r="J28" s="194"/>
      <c r="K28" s="194"/>
      <c r="L28" s="194"/>
      <c r="M28" s="2"/>
      <c r="N28" s="183"/>
      <c r="O28" s="1"/>
      <c r="P28" s="1"/>
      <c r="Q28" s="1"/>
      <c r="R28" s="1"/>
      <c r="S28" s="1"/>
    </row>
    <row r="29" spans="1:19" ht="15.75" thickBot="1">
      <c r="A29" s="183"/>
      <c r="B29" s="178"/>
      <c r="C29" s="178"/>
      <c r="D29" s="178"/>
      <c r="E29" s="1"/>
      <c r="F29" s="194"/>
      <c r="G29" s="194"/>
      <c r="H29" s="194"/>
      <c r="I29" s="194"/>
      <c r="J29" s="194"/>
      <c r="K29" s="194"/>
      <c r="L29" s="194"/>
      <c r="M29" s="2"/>
      <c r="N29" s="183"/>
      <c r="O29" s="1"/>
      <c r="P29" s="1"/>
      <c r="Q29" s="1"/>
      <c r="R29" s="1"/>
      <c r="S29" s="1"/>
    </row>
    <row r="30" spans="1:19" ht="15.75" thickBot="1">
      <c r="A30" s="183"/>
      <c r="B30" s="200" t="s">
        <v>431</v>
      </c>
      <c r="C30" s="200"/>
      <c r="D30" s="201"/>
      <c r="E30" s="2"/>
      <c r="F30" s="188">
        <f>'El Pueblo de Durin'!T21</f>
        <v>0</v>
      </c>
      <c r="G30" s="193"/>
      <c r="H30" s="188">
        <f>'El Pueblo de Durin'!S21</f>
        <v>0</v>
      </c>
      <c r="I30" s="193"/>
      <c r="J30" s="188">
        <f>'El Pueblo de Durin'!S24</f>
        <v>0</v>
      </c>
      <c r="K30" s="193"/>
      <c r="L30" s="188">
        <f>'El Pueblo de Durin'!U21</f>
        <v>0</v>
      </c>
      <c r="M30" s="2"/>
      <c r="N30" s="183"/>
      <c r="O30" s="1"/>
      <c r="P30" s="1"/>
      <c r="Q30" s="1"/>
      <c r="R30" s="1"/>
      <c r="S30" s="1"/>
    </row>
    <row r="31" spans="1:19">
      <c r="A31" s="183"/>
      <c r="B31" s="178"/>
      <c r="C31" s="178"/>
      <c r="D31" s="178"/>
      <c r="E31" s="1"/>
      <c r="F31" s="194"/>
      <c r="G31" s="194"/>
      <c r="H31" s="194"/>
      <c r="I31" s="194"/>
      <c r="J31" s="194"/>
      <c r="K31" s="194"/>
      <c r="L31" s="194"/>
      <c r="M31" s="2"/>
      <c r="N31" s="183"/>
      <c r="O31" s="1"/>
      <c r="P31" s="1"/>
      <c r="Q31" s="1"/>
      <c r="R31" s="1"/>
      <c r="S31" s="1"/>
    </row>
    <row r="32" spans="1:19" ht="15.75" thickBot="1">
      <c r="A32" s="183"/>
      <c r="B32" s="201"/>
      <c r="C32" s="201"/>
      <c r="D32" s="201"/>
      <c r="E32" s="2"/>
      <c r="F32" s="193"/>
      <c r="G32" s="193"/>
      <c r="H32" s="193"/>
      <c r="I32" s="193"/>
      <c r="J32" s="193"/>
      <c r="K32" s="193"/>
      <c r="L32" s="193"/>
      <c r="M32" s="2"/>
      <c r="N32" s="183"/>
      <c r="O32" s="1"/>
      <c r="P32" s="1"/>
      <c r="Q32" s="1"/>
      <c r="R32" s="1"/>
      <c r="S32" s="1"/>
    </row>
    <row r="33" spans="1:19" ht="15.75" thickBot="1">
      <c r="A33" s="183"/>
      <c r="B33" s="200" t="s">
        <v>432</v>
      </c>
      <c r="C33" s="201"/>
      <c r="D33" s="201"/>
      <c r="E33" s="2"/>
      <c r="F33" s="188">
        <f>'La Comarca'!J15</f>
        <v>0</v>
      </c>
      <c r="G33" s="193"/>
      <c r="H33" s="188">
        <f>'La Comarca'!I15</f>
        <v>0</v>
      </c>
      <c r="I33" s="193"/>
      <c r="J33" s="188">
        <f>'La Comarca'!I18</f>
        <v>0</v>
      </c>
      <c r="K33" s="193"/>
      <c r="L33" s="188">
        <f>'La Comarca'!K15</f>
        <v>0</v>
      </c>
      <c r="M33" s="2"/>
      <c r="N33" s="183"/>
      <c r="O33" s="1"/>
      <c r="P33" s="1"/>
      <c r="Q33" s="1"/>
      <c r="R33" s="1"/>
      <c r="S33" s="1"/>
    </row>
    <row r="34" spans="1:19">
      <c r="A34" s="183"/>
      <c r="B34" s="201"/>
      <c r="C34" s="201"/>
      <c r="D34" s="201"/>
      <c r="E34" s="2"/>
      <c r="F34" s="193"/>
      <c r="G34" s="193"/>
      <c r="H34" s="193"/>
      <c r="I34" s="193"/>
      <c r="J34" s="193"/>
      <c r="K34" s="193"/>
      <c r="L34" s="193"/>
      <c r="M34" s="2"/>
      <c r="N34" s="183"/>
      <c r="O34" s="1"/>
      <c r="P34" s="1"/>
      <c r="Q34" s="1"/>
      <c r="R34" s="1"/>
      <c r="S34" s="1"/>
    </row>
    <row r="35" spans="1:19" ht="15.75" thickBot="1">
      <c r="A35" s="183"/>
      <c r="B35" s="178"/>
      <c r="C35" s="178"/>
      <c r="D35" s="178"/>
      <c r="E35" s="1"/>
      <c r="F35" s="194"/>
      <c r="G35" s="194"/>
      <c r="H35" s="194"/>
      <c r="I35" s="194"/>
      <c r="J35" s="194"/>
      <c r="K35" s="194"/>
      <c r="L35" s="194"/>
      <c r="M35" s="2"/>
      <c r="N35" s="183"/>
      <c r="O35" s="1"/>
      <c r="P35" s="1"/>
      <c r="Q35" s="1"/>
      <c r="R35" s="1"/>
      <c r="S35" s="1"/>
    </row>
    <row r="36" spans="1:19" ht="15.75" thickBot="1">
      <c r="A36" s="183"/>
      <c r="B36" s="200" t="s">
        <v>433</v>
      </c>
      <c r="C36" s="200"/>
      <c r="D36" s="200"/>
      <c r="E36" s="2"/>
      <c r="F36" s="188">
        <f>'La Comunidad del Anillo'!M16</f>
        <v>0</v>
      </c>
      <c r="G36" s="193"/>
      <c r="H36" s="188">
        <f>'La Comunidad del Anillo'!L16</f>
        <v>0</v>
      </c>
      <c r="I36" s="193"/>
      <c r="J36" s="188">
        <f>'La Comunidad del Anillo'!L19</f>
        <v>0</v>
      </c>
      <c r="K36" s="193"/>
      <c r="L36" s="188">
        <f>'La Comunidad del Anillo'!N16</f>
        <v>0</v>
      </c>
      <c r="M36" s="2"/>
      <c r="N36" s="183"/>
      <c r="O36" s="1"/>
      <c r="P36" s="1"/>
      <c r="Q36" s="1"/>
      <c r="R36" s="1"/>
      <c r="S36" s="1"/>
    </row>
    <row r="37" spans="1:19">
      <c r="A37" s="183"/>
      <c r="B37" s="178"/>
      <c r="C37" s="178"/>
      <c r="D37" s="178"/>
      <c r="E37" s="1"/>
      <c r="F37" s="194"/>
      <c r="G37" s="194"/>
      <c r="H37" s="194"/>
      <c r="I37" s="194"/>
      <c r="J37" s="194"/>
      <c r="K37" s="194"/>
      <c r="L37" s="194"/>
      <c r="M37" s="2"/>
      <c r="N37" s="183"/>
      <c r="O37" s="1"/>
      <c r="P37" s="1"/>
      <c r="Q37" s="1"/>
      <c r="R37" s="1"/>
      <c r="S37" s="1"/>
    </row>
    <row r="38" spans="1:19" ht="15.75" thickBot="1">
      <c r="A38" s="183"/>
      <c r="B38" s="201"/>
      <c r="C38" s="201"/>
      <c r="D38" s="201"/>
      <c r="E38" s="2"/>
      <c r="F38" s="193"/>
      <c r="G38" s="193"/>
      <c r="H38" s="193"/>
      <c r="I38" s="193"/>
      <c r="J38" s="193"/>
      <c r="K38" s="193"/>
      <c r="L38" s="193"/>
      <c r="M38" s="2"/>
      <c r="N38" s="183"/>
      <c r="O38" s="1"/>
      <c r="P38" s="1"/>
      <c r="Q38" s="1"/>
      <c r="R38" s="1"/>
      <c r="S38" s="1"/>
    </row>
    <row r="39" spans="1:19" ht="15.75" thickBot="1">
      <c r="A39" s="183"/>
      <c r="B39" s="200" t="s">
        <v>434</v>
      </c>
      <c r="C39" s="200"/>
      <c r="D39" s="200"/>
      <c r="E39" s="2"/>
      <c r="F39" s="188">
        <f>'Los Caminantes Infatigables'!E14</f>
        <v>0</v>
      </c>
      <c r="G39" s="193"/>
      <c r="H39" s="188">
        <f>'Los Caminantes Infatigables'!D14</f>
        <v>0</v>
      </c>
      <c r="I39" s="193"/>
      <c r="J39" s="188">
        <f>'Los Caminantes Infatigables'!D17</f>
        <v>0</v>
      </c>
      <c r="K39" s="193"/>
      <c r="L39" s="188">
        <f>'Los Caminantes Infatigables'!F14</f>
        <v>0</v>
      </c>
      <c r="M39" s="2"/>
      <c r="N39" s="183"/>
      <c r="O39" s="1"/>
      <c r="P39" s="1"/>
      <c r="Q39" s="1"/>
      <c r="R39" s="1"/>
      <c r="S39" s="1"/>
    </row>
    <row r="40" spans="1:19">
      <c r="A40" s="183"/>
      <c r="B40" s="201"/>
      <c r="C40" s="201"/>
      <c r="D40" s="201"/>
      <c r="E40" s="2"/>
      <c r="F40" s="193"/>
      <c r="G40" s="193"/>
      <c r="H40" s="193"/>
      <c r="I40" s="193"/>
      <c r="J40" s="193"/>
      <c r="K40" s="193"/>
      <c r="L40" s="193"/>
      <c r="M40" s="2"/>
      <c r="N40" s="183"/>
      <c r="O40" s="1"/>
      <c r="P40" s="1"/>
      <c r="Q40" s="1"/>
      <c r="R40" s="1"/>
      <c r="S40" s="1"/>
    </row>
    <row r="41" spans="1:19" ht="15.75" thickBot="1">
      <c r="A41" s="183"/>
      <c r="B41" s="178"/>
      <c r="C41" s="178"/>
      <c r="D41" s="178"/>
      <c r="E41" s="1"/>
      <c r="F41" s="194"/>
      <c r="G41" s="194"/>
      <c r="H41" s="194"/>
      <c r="I41" s="194"/>
      <c r="J41" s="194"/>
      <c r="K41" s="194"/>
      <c r="L41" s="194"/>
      <c r="M41" s="2"/>
      <c r="N41" s="183"/>
      <c r="O41" s="1"/>
      <c r="P41" s="1"/>
      <c r="Q41" s="1"/>
      <c r="R41" s="1"/>
      <c r="S41" s="1"/>
    </row>
    <row r="42" spans="1:19" ht="15.75" thickBot="1">
      <c r="A42" s="183"/>
      <c r="B42" s="200" t="s">
        <v>435</v>
      </c>
      <c r="C42" s="200"/>
      <c r="D42" s="201"/>
      <c r="E42" s="2"/>
      <c r="F42" s="188">
        <f>'El Concilio Blanco'!M16</f>
        <v>0</v>
      </c>
      <c r="G42" s="193"/>
      <c r="H42" s="188">
        <f>'El Concilio Blanco'!L16</f>
        <v>0</v>
      </c>
      <c r="I42" s="193"/>
      <c r="J42" s="188">
        <f>'El Concilio Blanco'!L19</f>
        <v>0</v>
      </c>
      <c r="K42" s="193"/>
      <c r="L42" s="188">
        <f>'El Concilio Blanco'!N16</f>
        <v>0</v>
      </c>
      <c r="M42" s="2"/>
      <c r="N42" s="183"/>
      <c r="O42" s="1"/>
      <c r="P42" s="1"/>
      <c r="Q42" s="1"/>
      <c r="R42" s="1"/>
      <c r="S42" s="1"/>
    </row>
    <row r="43" spans="1:19">
      <c r="A43" s="18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83"/>
      <c r="O43" s="1"/>
      <c r="P43" s="1"/>
      <c r="Q43" s="1"/>
      <c r="R43" s="1"/>
      <c r="S43" s="1"/>
    </row>
    <row r="44" spans="1:19" ht="15.75" thickBot="1">
      <c r="A44" s="18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83"/>
      <c r="O44" s="1"/>
      <c r="P44" s="1"/>
      <c r="Q44" s="1"/>
      <c r="R44" s="1"/>
      <c r="S44" s="1"/>
    </row>
    <row r="45" spans="1:19" ht="15.75" thickBot="1">
      <c r="A45" s="181"/>
      <c r="B45" s="223" t="s">
        <v>481</v>
      </c>
      <c r="C45" s="215"/>
      <c r="D45" s="216"/>
      <c r="E45" s="2"/>
      <c r="F45" s="188">
        <f>'El Hobbit Luz'!S34</f>
        <v>0</v>
      </c>
      <c r="G45" s="193"/>
      <c r="H45" s="188">
        <f>'El Hobbit Luz'!R34</f>
        <v>0</v>
      </c>
      <c r="I45" s="193"/>
      <c r="J45" s="188">
        <f>'El Hobbit Luz'!R37</f>
        <v>0</v>
      </c>
      <c r="K45" s="193"/>
      <c r="L45" s="188">
        <f>'El Hobbit Luz'!T34</f>
        <v>0</v>
      </c>
      <c r="M45" s="1"/>
      <c r="N45" s="181"/>
      <c r="O45" s="1"/>
      <c r="P45" s="1"/>
      <c r="Q45" s="1"/>
      <c r="R45" s="1"/>
      <c r="S45" s="1"/>
    </row>
    <row r="46" spans="1:19">
      <c r="A46" s="18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83"/>
      <c r="O46" s="1"/>
      <c r="P46" s="1"/>
      <c r="Q46" s="1"/>
      <c r="R46" s="1"/>
      <c r="S46" s="1"/>
    </row>
    <row r="47" spans="1:19">
      <c r="A47" s="18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83"/>
      <c r="O47" s="1"/>
      <c r="P47" s="1"/>
      <c r="Q47" s="1"/>
      <c r="R47" s="1"/>
      <c r="S47" s="1"/>
    </row>
    <row r="48" spans="1:19" ht="15.75" thickBot="1">
      <c r="A48" s="18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2"/>
      <c r="N48" s="183"/>
      <c r="O48" s="1"/>
      <c r="P48" s="1"/>
      <c r="Q48" s="1"/>
      <c r="R48" s="1"/>
      <c r="S48" s="1"/>
    </row>
    <row r="49" spans="1:19" ht="15.75" thickBot="1">
      <c r="A49" s="183"/>
      <c r="B49" s="185" t="s">
        <v>436</v>
      </c>
      <c r="C49" s="2"/>
      <c r="D49" s="2"/>
      <c r="E49" s="2"/>
      <c r="F49" s="195">
        <f>SUM(F9,F12,F15,F18,F21,F24,F27,F30,F33,F36,F39,F42,F45)</f>
        <v>0</v>
      </c>
      <c r="G49" s="217"/>
      <c r="H49" s="195">
        <f t="shared" ref="H49:L49" si="0">SUM(H9,H12,H15,H18,H21,H24,H27,H30,H33,H36,H39,H42,H45)</f>
        <v>0</v>
      </c>
      <c r="I49" s="217"/>
      <c r="J49" s="195">
        <f t="shared" si="0"/>
        <v>0</v>
      </c>
      <c r="K49" s="217"/>
      <c r="L49" s="195">
        <f t="shared" si="0"/>
        <v>0</v>
      </c>
      <c r="M49" s="2"/>
      <c r="N49" s="183"/>
      <c r="O49" s="1"/>
      <c r="P49" s="1"/>
      <c r="Q49" s="1"/>
      <c r="R49" s="1"/>
      <c r="S49" s="1"/>
    </row>
    <row r="50" spans="1:19">
      <c r="A50" s="18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83"/>
      <c r="O50" s="1"/>
      <c r="P50" s="1"/>
      <c r="Q50" s="1"/>
      <c r="R50" s="1"/>
      <c r="S50" s="1"/>
    </row>
    <row r="51" spans="1:19">
      <c r="A51" s="18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83"/>
      <c r="O51" s="1"/>
      <c r="P51" s="1"/>
      <c r="Q51" s="1"/>
      <c r="R51" s="1"/>
      <c r="S51" s="1"/>
    </row>
    <row r="52" spans="1:19" ht="7.5" customHeight="1">
      <c r="A52" s="18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83"/>
      <c r="O52" s="1"/>
      <c r="P52" s="1"/>
      <c r="Q52" s="1"/>
      <c r="R52" s="1"/>
      <c r="S52" s="1"/>
    </row>
    <row r="53" spans="1:19">
      <c r="A53" s="18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83"/>
      <c r="O53" s="1"/>
      <c r="P53" s="1"/>
      <c r="Q53" s="1"/>
      <c r="R53" s="1"/>
      <c r="S53" s="1"/>
    </row>
    <row r="54" spans="1:19">
      <c r="A54" s="18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83"/>
      <c r="O54" s="1"/>
      <c r="P54" s="1"/>
      <c r="Q54" s="1"/>
      <c r="R54" s="1"/>
      <c r="S54" s="1"/>
    </row>
    <row r="55" spans="1:19">
      <c r="A55" s="18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83"/>
      <c r="O55" s="1"/>
      <c r="P55" s="1"/>
      <c r="Q55" s="1"/>
      <c r="R55" s="1"/>
      <c r="S55" s="1"/>
    </row>
    <row r="56" spans="1:19">
      <c r="A56" s="18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83"/>
      <c r="O56" s="1"/>
      <c r="P56" s="1"/>
      <c r="Q56" s="1"/>
      <c r="R56" s="1"/>
      <c r="S56" s="1"/>
    </row>
    <row r="57" spans="1:19" ht="7.5" customHeight="1">
      <c r="A57" s="183"/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"/>
      <c r="P57" s="1"/>
      <c r="Q57" s="1"/>
      <c r="R57" s="1"/>
      <c r="S57" s="1"/>
    </row>
    <row r="58" spans="1:1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</sheetData>
  <mergeCells count="2">
    <mergeCell ref="B2:M4"/>
    <mergeCell ref="B5:C5"/>
  </mergeCells>
  <hyperlinks>
    <hyperlink ref="B5" location="Índice!A1" display="VOLVER AL ÍNDICE"/>
    <hyperlink ref="B9" location="'Minas Tirith'!A1" display="MINAS TIRITH"/>
    <hyperlink ref="B12" location="'Los Feudos'!A1" display="LOS FEUDOS"/>
    <hyperlink ref="B15" location="Rohan!A1" display="ROHAN"/>
    <hyperlink ref="B18" location="Arnor!A1" display="ARNOR"/>
    <hyperlink ref="B21" location="Númenor!A1" display="NÚMENOR"/>
    <hyperlink ref="B24:C24" location="'Eregion y Rivendell'!A1" display="EREGION Y RIVENDELL"/>
    <hyperlink ref="B27:D27" location="'Lothlórien y el Bosque Negro'!A1" display="LOTHLÓRIEN Y EL BOSQUE NEGRO"/>
    <hyperlink ref="B30:C30" location="'El Pueblo de Durin'!A1" display="EL PUEBLO DE DURIN"/>
    <hyperlink ref="B33" location="'La Comarca'!A1" display="LA COMARCA"/>
    <hyperlink ref="B36:D36" location="'La Comunidad del Anillo'!A1" display="LA COMUNIDAD DEL ANILLO"/>
    <hyperlink ref="B39:D39" location="'Los Caminantes Infatigables'!A1" display="LOS CAMINANTES INFATIGABLES"/>
    <hyperlink ref="B42:C42" location="'El Concilio Blanco'!A1" display="EL CONCILIO BLANCO"/>
    <hyperlink ref="B45:D45" location="'El Hobbit Luz'!A1" display="EL HOBBIT: FUERZAS DE LA LUZ"/>
  </hyperlinks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Y35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15" width="3.28515625" customWidth="1"/>
    <col min="16" max="18" width="9.7109375" customWidth="1"/>
  </cols>
  <sheetData>
    <row r="1" spans="1:25" ht="170.1" customHeight="1">
      <c r="A1" s="175" t="s">
        <v>373</v>
      </c>
      <c r="B1" s="4" t="s">
        <v>3</v>
      </c>
      <c r="C1" s="5" t="s">
        <v>4</v>
      </c>
      <c r="D1" s="5" t="s">
        <v>5</v>
      </c>
      <c r="E1" s="5" t="s">
        <v>49</v>
      </c>
      <c r="F1" s="5" t="s">
        <v>231</v>
      </c>
      <c r="G1" s="5" t="s">
        <v>10</v>
      </c>
      <c r="H1" s="5" t="s">
        <v>374</v>
      </c>
      <c r="I1" s="5" t="s">
        <v>375</v>
      </c>
      <c r="J1" s="5" t="s">
        <v>11</v>
      </c>
      <c r="K1" s="5" t="s">
        <v>12</v>
      </c>
      <c r="L1" s="5" t="s">
        <v>376</v>
      </c>
      <c r="M1" s="5" t="s">
        <v>233</v>
      </c>
      <c r="N1" s="5" t="s">
        <v>235</v>
      </c>
      <c r="O1" s="5" t="s">
        <v>377</v>
      </c>
      <c r="P1" s="5" t="s">
        <v>24</v>
      </c>
      <c r="Q1" s="5" t="s">
        <v>0</v>
      </c>
      <c r="R1" s="5" t="s">
        <v>25</v>
      </c>
      <c r="S1" s="1"/>
      <c r="T1" s="1"/>
      <c r="U1" s="1"/>
      <c r="V1" s="1"/>
      <c r="W1" s="1"/>
      <c r="X1" s="1"/>
      <c r="Y1" s="1"/>
    </row>
    <row r="2" spans="1:25">
      <c r="A2" s="6" t="s">
        <v>259</v>
      </c>
      <c r="B2" s="7">
        <v>120</v>
      </c>
      <c r="C2" s="147"/>
      <c r="D2" s="147"/>
      <c r="E2" s="148"/>
      <c r="F2" s="147"/>
      <c r="G2" s="147"/>
      <c r="H2" s="147"/>
      <c r="I2" s="147"/>
      <c r="J2" s="149"/>
      <c r="K2" s="48"/>
      <c r="L2" s="147"/>
      <c r="M2" s="48"/>
      <c r="N2" s="48"/>
      <c r="O2" s="150"/>
      <c r="P2" s="7"/>
      <c r="Q2" s="12">
        <f>P2*B2+(10*J2+15*K2+50*M2+75*N2+70*O2)</f>
        <v>0</v>
      </c>
      <c r="R2" s="13">
        <f>2*P2</f>
        <v>0</v>
      </c>
      <c r="S2" s="1"/>
      <c r="T2" s="1"/>
      <c r="U2" s="1"/>
      <c r="V2" s="1"/>
      <c r="W2" s="1"/>
      <c r="X2" s="1"/>
      <c r="Y2" s="1"/>
    </row>
    <row r="3" spans="1:25">
      <c r="A3" s="6" t="s">
        <v>378</v>
      </c>
      <c r="B3" s="7">
        <v>100</v>
      </c>
      <c r="C3" s="151"/>
      <c r="D3" s="151"/>
      <c r="E3" s="152"/>
      <c r="F3" s="151"/>
      <c r="G3" s="151"/>
      <c r="H3" s="151"/>
      <c r="I3" s="151"/>
      <c r="J3" s="152"/>
      <c r="K3" s="45"/>
      <c r="L3" s="151"/>
      <c r="M3" s="151"/>
      <c r="N3" s="151"/>
      <c r="O3" s="151"/>
      <c r="P3" s="7"/>
      <c r="Q3" s="12">
        <f>P3*B3+(15*K3)</f>
        <v>0</v>
      </c>
      <c r="R3" s="13">
        <f>3*P3</f>
        <v>0</v>
      </c>
      <c r="S3" s="1"/>
      <c r="T3" s="1"/>
      <c r="U3" s="1"/>
      <c r="V3" s="1"/>
      <c r="W3" s="1"/>
      <c r="X3" s="1"/>
      <c r="Y3" s="1"/>
    </row>
    <row r="4" spans="1:25">
      <c r="A4" s="6" t="s">
        <v>379</v>
      </c>
      <c r="B4" s="7">
        <v>45</v>
      </c>
      <c r="C4" s="48"/>
      <c r="D4" s="48"/>
      <c r="E4" s="153"/>
      <c r="F4" s="147"/>
      <c r="G4" s="147"/>
      <c r="H4" s="147"/>
      <c r="I4" s="48"/>
      <c r="J4" s="145"/>
      <c r="K4" s="48"/>
      <c r="L4" s="147"/>
      <c r="M4" s="147"/>
      <c r="N4" s="147"/>
      <c r="O4" s="147"/>
      <c r="P4" s="12"/>
      <c r="Q4" s="12">
        <f>P4*B4+(5*C4+5*D4+5*I4+10*J4+15*K4)</f>
        <v>0</v>
      </c>
      <c r="R4" s="13">
        <f>2*P4</f>
        <v>0</v>
      </c>
      <c r="S4" s="1"/>
      <c r="T4" s="1"/>
      <c r="U4" s="1"/>
      <c r="V4" s="1"/>
      <c r="W4" s="1"/>
      <c r="X4" s="1"/>
      <c r="Y4" s="1"/>
    </row>
    <row r="5" spans="1:25">
      <c r="A5" s="6" t="s">
        <v>380</v>
      </c>
      <c r="B5" s="7">
        <v>70</v>
      </c>
      <c r="C5" s="151"/>
      <c r="D5" s="151"/>
      <c r="E5" s="152"/>
      <c r="F5" s="151"/>
      <c r="G5" s="151"/>
      <c r="H5" s="151"/>
      <c r="I5" s="151"/>
      <c r="J5" s="152"/>
      <c r="K5" s="48"/>
      <c r="L5" s="151"/>
      <c r="M5" s="151"/>
      <c r="N5" s="151"/>
      <c r="O5" s="151"/>
      <c r="P5" s="12"/>
      <c r="Q5" s="12">
        <f>P5*B5+(15*K5)</f>
        <v>0</v>
      </c>
      <c r="R5" s="13">
        <f>2*P5</f>
        <v>0</v>
      </c>
      <c r="S5" s="1"/>
      <c r="T5" s="1"/>
      <c r="U5" s="1"/>
      <c r="V5" s="1"/>
      <c r="W5" s="1"/>
      <c r="X5" s="1"/>
      <c r="Y5" s="1"/>
    </row>
    <row r="6" spans="1:25">
      <c r="A6" s="6" t="s">
        <v>381</v>
      </c>
      <c r="B6" s="7">
        <v>60</v>
      </c>
      <c r="C6" s="147"/>
      <c r="D6" s="147"/>
      <c r="E6" s="153"/>
      <c r="F6" s="147"/>
      <c r="G6" s="147"/>
      <c r="H6" s="147"/>
      <c r="I6" s="147"/>
      <c r="J6" s="153"/>
      <c r="K6" s="48"/>
      <c r="L6" s="147"/>
      <c r="M6" s="147"/>
      <c r="N6" s="147"/>
      <c r="O6" s="147"/>
      <c r="P6" s="12"/>
      <c r="Q6" s="12">
        <f>P6*B6+(15*K6)</f>
        <v>0</v>
      </c>
      <c r="R6" s="13">
        <f>1*P6</f>
        <v>0</v>
      </c>
      <c r="S6" s="1"/>
      <c r="T6" s="1"/>
      <c r="U6" s="1"/>
      <c r="V6" s="1"/>
      <c r="W6" s="1"/>
      <c r="X6" s="1"/>
      <c r="Y6" s="1"/>
    </row>
    <row r="7" spans="1:25">
      <c r="A7" s="6" t="s">
        <v>382</v>
      </c>
      <c r="B7" s="7">
        <v>90</v>
      </c>
      <c r="C7" s="152"/>
      <c r="D7" s="37"/>
      <c r="E7" s="152"/>
      <c r="F7" s="152"/>
      <c r="G7" s="152"/>
      <c r="H7" s="152"/>
      <c r="I7" s="152"/>
      <c r="J7" s="37"/>
      <c r="K7" s="152"/>
      <c r="L7" s="37"/>
      <c r="M7" s="152"/>
      <c r="N7" s="152"/>
      <c r="O7" s="152"/>
      <c r="P7" s="18"/>
      <c r="Q7" s="12">
        <f>P7*B7+(5*D7+10*J7+30*L7)</f>
        <v>0</v>
      </c>
      <c r="R7" s="13">
        <f>2*P7</f>
        <v>0</v>
      </c>
      <c r="S7" s="1"/>
      <c r="T7" s="1"/>
      <c r="U7" s="1"/>
      <c r="V7" s="1"/>
      <c r="W7" s="1"/>
      <c r="X7" s="1"/>
      <c r="Y7" s="1"/>
    </row>
    <row r="8" spans="1:25">
      <c r="A8" s="6" t="s">
        <v>383</v>
      </c>
      <c r="B8" s="7">
        <v>55</v>
      </c>
      <c r="C8" s="147"/>
      <c r="D8" s="45"/>
      <c r="E8" s="153"/>
      <c r="F8" s="147"/>
      <c r="G8" s="147"/>
      <c r="H8" s="147"/>
      <c r="I8" s="147"/>
      <c r="J8" s="37"/>
      <c r="K8" s="147"/>
      <c r="L8" s="48"/>
      <c r="M8" s="147"/>
      <c r="N8" s="147"/>
      <c r="O8" s="147"/>
      <c r="P8" s="12"/>
      <c r="Q8" s="12">
        <f>P8*B8+(5*D8+10*J8+30*L8)</f>
        <v>0</v>
      </c>
      <c r="R8" s="13">
        <f>2*P8</f>
        <v>0</v>
      </c>
      <c r="S8" s="1"/>
      <c r="T8" s="1"/>
      <c r="U8" s="1"/>
      <c r="V8" s="1"/>
      <c r="W8" s="1"/>
      <c r="X8" s="1"/>
      <c r="Y8" s="1"/>
    </row>
    <row r="9" spans="1:25">
      <c r="A9" s="6" t="s">
        <v>384</v>
      </c>
      <c r="B9" s="7">
        <v>7</v>
      </c>
      <c r="C9" s="48"/>
      <c r="D9" s="48"/>
      <c r="E9" s="37"/>
      <c r="F9" s="151"/>
      <c r="G9" s="45"/>
      <c r="H9" s="45"/>
      <c r="I9" s="151"/>
      <c r="J9" s="152"/>
      <c r="K9" s="151"/>
      <c r="L9" s="151"/>
      <c r="M9" s="151"/>
      <c r="N9" s="151"/>
      <c r="O9" s="151"/>
      <c r="P9" s="12"/>
      <c r="Q9" s="12">
        <f>P9*B9+(1*C9+1*D9+1*E9+25*G9+2*H9)</f>
        <v>0</v>
      </c>
      <c r="R9" s="22"/>
      <c r="S9" s="1"/>
      <c r="T9" s="1"/>
      <c r="U9" s="1"/>
      <c r="V9" s="1"/>
      <c r="W9" s="1"/>
      <c r="X9" s="1"/>
      <c r="Y9" s="1"/>
    </row>
    <row r="10" spans="1:25">
      <c r="A10" s="6" t="s">
        <v>385</v>
      </c>
      <c r="B10" s="19">
        <v>14</v>
      </c>
      <c r="C10" s="147"/>
      <c r="D10" s="147"/>
      <c r="E10" s="153"/>
      <c r="F10" s="48"/>
      <c r="G10" s="48"/>
      <c r="H10" s="48"/>
      <c r="I10" s="147"/>
      <c r="J10" s="153"/>
      <c r="K10" s="147"/>
      <c r="L10" s="147"/>
      <c r="M10" s="147"/>
      <c r="N10" s="147"/>
      <c r="O10" s="147"/>
      <c r="P10" s="18"/>
      <c r="Q10" s="12">
        <f>P10*B10+(15*F10+25*G10+2*H10)</f>
        <v>0</v>
      </c>
      <c r="R10" s="22"/>
      <c r="S10" s="1"/>
      <c r="T10" s="1"/>
      <c r="U10" s="1"/>
      <c r="V10" s="1"/>
      <c r="W10" s="1"/>
      <c r="X10" s="1"/>
      <c r="Y10" s="1"/>
    </row>
    <row r="11" spans="1:25">
      <c r="A11" s="6" t="s">
        <v>386</v>
      </c>
      <c r="B11" s="19">
        <v>8</v>
      </c>
      <c r="C11" s="152"/>
      <c r="D11" s="37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8"/>
      <c r="Q11" s="12">
        <f>P11*B11+(1*D11)</f>
        <v>0</v>
      </c>
      <c r="R11" s="22"/>
      <c r="S11" s="1"/>
      <c r="T11" s="1"/>
      <c r="U11" s="1"/>
      <c r="V11" s="1"/>
      <c r="W11" s="1"/>
      <c r="X11" s="1"/>
      <c r="Y11" s="1"/>
    </row>
    <row r="12" spans="1:25">
      <c r="A12" s="6" t="s">
        <v>387</v>
      </c>
      <c r="B12" s="19">
        <v>25</v>
      </c>
      <c r="C12" s="147"/>
      <c r="D12" s="48"/>
      <c r="E12" s="153"/>
      <c r="F12" s="147"/>
      <c r="G12" s="147"/>
      <c r="H12" s="147"/>
      <c r="I12" s="147"/>
      <c r="J12" s="153"/>
      <c r="K12" s="147"/>
      <c r="L12" s="147"/>
      <c r="M12" s="147"/>
      <c r="N12" s="147"/>
      <c r="O12" s="147"/>
      <c r="P12" s="18"/>
      <c r="Q12" s="12">
        <f>P12*B12+(1*D12)</f>
        <v>0</v>
      </c>
      <c r="R12" s="22"/>
      <c r="S12" s="1"/>
      <c r="T12" s="1"/>
      <c r="U12" s="1"/>
      <c r="V12" s="1"/>
      <c r="W12" s="1"/>
      <c r="X12" s="1"/>
      <c r="Y12" s="1"/>
    </row>
    <row r="13" spans="1:25">
      <c r="A13" s="34" t="s">
        <v>388</v>
      </c>
      <c r="B13" s="12">
        <v>13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71"/>
      <c r="Q13" s="12">
        <f>P13*B13</f>
        <v>0</v>
      </c>
      <c r="R13" s="13"/>
      <c r="S13" s="1"/>
      <c r="T13" s="1"/>
      <c r="U13" s="1"/>
      <c r="V13" s="1"/>
      <c r="W13" s="1"/>
      <c r="X13" s="1"/>
      <c r="Y13" s="1"/>
    </row>
    <row r="14" spans="1:25">
      <c r="A14" s="2"/>
      <c r="B14" s="35"/>
      <c r="C14" s="60"/>
      <c r="D14" s="60"/>
      <c r="E14" s="44"/>
      <c r="F14" s="44"/>
      <c r="G14" s="60"/>
      <c r="H14" s="60"/>
      <c r="I14" s="60"/>
      <c r="J14" s="60"/>
      <c r="K14" s="60"/>
      <c r="L14" s="44"/>
      <c r="M14" s="60"/>
      <c r="N14" s="60"/>
      <c r="O14" s="60"/>
      <c r="P14" s="29"/>
      <c r="Q14" s="29"/>
      <c r="R14" s="22"/>
      <c r="S14" s="1"/>
      <c r="T14" s="1"/>
      <c r="U14" s="1"/>
      <c r="V14" s="1"/>
      <c r="W14" s="1"/>
      <c r="X14" s="1"/>
      <c r="Y14" s="1"/>
    </row>
    <row r="15" spans="1:25" ht="15.75" thickBot="1">
      <c r="A15" s="2"/>
      <c r="B15" s="35"/>
      <c r="C15" s="60"/>
      <c r="D15" s="60"/>
      <c r="E15" s="44"/>
      <c r="F15" s="44"/>
      <c r="G15" s="60"/>
      <c r="H15" s="60"/>
      <c r="I15" s="60"/>
      <c r="J15" s="60"/>
      <c r="K15" s="60"/>
      <c r="L15" s="44"/>
      <c r="M15" s="44"/>
      <c r="N15" s="44"/>
      <c r="O15" s="44"/>
      <c r="P15" s="27" t="s">
        <v>46</v>
      </c>
      <c r="Q15" s="30" t="s">
        <v>47</v>
      </c>
      <c r="R15" s="27" t="s">
        <v>46</v>
      </c>
      <c r="S15" s="1"/>
      <c r="T15" s="1"/>
      <c r="U15" s="1"/>
      <c r="V15" s="1"/>
      <c r="W15" s="1"/>
      <c r="X15" s="1"/>
      <c r="Y15" s="1"/>
    </row>
    <row r="16" spans="1:25" ht="15.75" thickBot="1">
      <c r="A16" s="2"/>
      <c r="B16" s="27"/>
      <c r="C16" s="60"/>
      <c r="D16" s="60"/>
      <c r="E16" s="44"/>
      <c r="F16" s="44"/>
      <c r="G16" s="60"/>
      <c r="H16" s="60"/>
      <c r="I16" s="60"/>
      <c r="J16" s="60"/>
      <c r="K16" s="60"/>
      <c r="L16" s="44"/>
      <c r="M16" s="60"/>
      <c r="N16" s="60"/>
      <c r="O16" s="60"/>
      <c r="P16" s="31">
        <f>SUM(P2:P13)</f>
        <v>0</v>
      </c>
      <c r="Q16" s="32">
        <f>SUM(Q2:Q12)</f>
        <v>0</v>
      </c>
      <c r="R16" s="124">
        <f>SUM(R2:R8)</f>
        <v>0</v>
      </c>
      <c r="S16" s="1"/>
      <c r="T16" s="1"/>
      <c r="U16" s="1"/>
      <c r="V16" s="1"/>
      <c r="W16" s="1"/>
      <c r="X16" s="1"/>
      <c r="Y16" s="1"/>
    </row>
    <row r="17" spans="1:25">
      <c r="A17" s="2"/>
      <c r="B17" s="27"/>
      <c r="C17" s="60"/>
      <c r="D17" s="60"/>
      <c r="E17" s="44"/>
      <c r="F17" s="44"/>
      <c r="G17" s="60"/>
      <c r="H17" s="60"/>
      <c r="I17" s="60"/>
      <c r="J17" s="60"/>
      <c r="K17" s="60"/>
      <c r="L17" s="44"/>
      <c r="M17" s="60"/>
      <c r="N17" s="60"/>
      <c r="O17" s="60"/>
      <c r="P17" s="27"/>
      <c r="Q17" s="12"/>
      <c r="R17" s="22"/>
      <c r="S17" s="131"/>
      <c r="T17" s="1"/>
      <c r="U17" s="1"/>
      <c r="V17" s="1"/>
      <c r="W17" s="1"/>
      <c r="X17" s="1"/>
      <c r="Y17" s="1"/>
    </row>
    <row r="18" spans="1:25">
      <c r="A18" s="2"/>
      <c r="B18" s="35"/>
      <c r="C18" s="60"/>
      <c r="D18" s="60"/>
      <c r="E18" s="44"/>
      <c r="F18" s="44"/>
      <c r="G18" s="60"/>
      <c r="H18" s="60"/>
      <c r="I18" s="60"/>
      <c r="J18" s="60"/>
      <c r="K18" s="60"/>
      <c r="L18" s="44"/>
      <c r="M18" s="60"/>
      <c r="N18" s="60"/>
      <c r="O18" s="60"/>
      <c r="P18" s="27" t="s">
        <v>1</v>
      </c>
      <c r="Q18" s="29"/>
      <c r="R18" s="22"/>
      <c r="S18" s="131"/>
      <c r="T18" s="1"/>
      <c r="U18" s="1"/>
      <c r="V18" s="1"/>
      <c r="W18" s="1"/>
      <c r="X18" s="1"/>
      <c r="Y18" s="1"/>
    </row>
    <row r="19" spans="1:25">
      <c r="A19" s="3"/>
      <c r="B19" s="35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154">
        <f>ROUNDUP(P16/3,0)</f>
        <v>0</v>
      </c>
      <c r="Q19" s="29"/>
      <c r="R19" s="13"/>
      <c r="S19" s="102"/>
      <c r="T19" s="1"/>
      <c r="U19" s="1"/>
      <c r="V19" s="1"/>
      <c r="W19" s="1"/>
      <c r="X19" s="1"/>
      <c r="Y19" s="1"/>
    </row>
    <row r="20" spans="1:25">
      <c r="A20" s="135"/>
      <c r="B20" s="135"/>
      <c r="C20" s="131"/>
      <c r="D20" s="131"/>
      <c r="E20" s="102"/>
      <c r="F20" s="102"/>
      <c r="G20" s="131"/>
      <c r="H20" s="131"/>
      <c r="I20" s="131"/>
      <c r="J20" s="131"/>
      <c r="K20" s="131"/>
      <c r="L20" s="102"/>
      <c r="M20" s="131"/>
      <c r="N20" s="131"/>
      <c r="O20" s="131"/>
      <c r="P20" s="1"/>
      <c r="Q20" s="123"/>
      <c r="R20" s="22"/>
      <c r="S20" s="131"/>
      <c r="T20" s="1"/>
      <c r="U20" s="1"/>
      <c r="V20" s="1"/>
      <c r="W20" s="1"/>
      <c r="X20" s="1"/>
      <c r="Y20" s="1"/>
    </row>
    <row r="21" spans="1:25">
      <c r="A21" s="135"/>
      <c r="B21" s="123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55"/>
      <c r="S21" s="102"/>
      <c r="T21" s="1"/>
      <c r="U21" s="123"/>
      <c r="V21" s="1"/>
      <c r="W21" s="1"/>
      <c r="X21" s="1"/>
      <c r="Y21" s="1"/>
    </row>
    <row r="22" spans="1:25">
      <c r="A22" s="123"/>
      <c r="B22" s="123"/>
      <c r="C22" s="131"/>
      <c r="D22" s="131"/>
      <c r="E22" s="102"/>
      <c r="F22" s="102"/>
      <c r="G22" s="102"/>
      <c r="H22" s="131"/>
      <c r="I22" s="131"/>
      <c r="J22" s="131"/>
      <c r="K22" s="131"/>
      <c r="L22" s="131"/>
      <c r="M22" s="102"/>
      <c r="N22" s="131"/>
      <c r="O22" s="131"/>
      <c r="P22" s="131"/>
      <c r="Q22" s="131"/>
      <c r="R22" s="156"/>
      <c r="S22" s="131"/>
      <c r="T22" s="1"/>
      <c r="U22" s="123"/>
      <c r="V22" s="1"/>
      <c r="W22" s="1"/>
      <c r="X22" s="1"/>
      <c r="Y22" s="1"/>
    </row>
    <row r="23" spans="1:25">
      <c r="A23" s="123"/>
      <c r="B23" s="123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55"/>
      <c r="S23" s="102"/>
      <c r="T23" s="1"/>
      <c r="U23" s="123"/>
      <c r="V23" s="1"/>
      <c r="W23" s="1"/>
      <c r="X23" s="1"/>
      <c r="Y23" s="1"/>
    </row>
    <row r="24" spans="1:25">
      <c r="A24" s="123"/>
      <c r="B24" s="123"/>
      <c r="C24" s="131"/>
      <c r="D24" s="131"/>
      <c r="E24" s="102"/>
      <c r="F24" s="102"/>
      <c r="G24" s="102"/>
      <c r="H24" s="131"/>
      <c r="I24" s="131"/>
      <c r="J24" s="131"/>
      <c r="K24" s="131"/>
      <c r="L24" s="131"/>
      <c r="M24" s="102"/>
      <c r="N24" s="131"/>
      <c r="O24" s="131"/>
      <c r="P24" s="131"/>
      <c r="Q24" s="131"/>
      <c r="R24" s="156"/>
      <c r="S24" s="131"/>
      <c r="T24" s="1"/>
      <c r="U24" s="123"/>
      <c r="V24" s="1"/>
      <c r="W24" s="1"/>
      <c r="X24" s="1"/>
      <c r="Y24" s="1"/>
    </row>
    <row r="25" spans="1:25">
      <c r="A25" s="123"/>
      <c r="B25" s="123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55"/>
      <c r="S25" s="102"/>
      <c r="T25" s="1"/>
      <c r="U25" s="123"/>
      <c r="V25" s="1"/>
      <c r="W25" s="1"/>
      <c r="X25" s="1"/>
      <c r="Y25" s="1"/>
    </row>
    <row r="26" spans="1:25">
      <c r="A26" s="123"/>
      <c r="B26" s="135"/>
      <c r="C26" s="131"/>
      <c r="D26" s="131"/>
      <c r="E26" s="102"/>
      <c r="F26" s="102"/>
      <c r="G26" s="102"/>
      <c r="H26" s="131"/>
      <c r="I26" s="131"/>
      <c r="J26" s="131"/>
      <c r="K26" s="131"/>
      <c r="L26" s="131"/>
      <c r="M26" s="102"/>
      <c r="N26" s="131"/>
      <c r="O26" s="131"/>
      <c r="P26" s="131"/>
      <c r="Q26" s="131"/>
      <c r="R26" s="156"/>
      <c r="S26" s="131"/>
      <c r="T26" s="123"/>
      <c r="U26" s="123"/>
      <c r="V26" s="1"/>
      <c r="W26" s="1"/>
      <c r="X26" s="1"/>
      <c r="Y26" s="1"/>
    </row>
    <row r="27" spans="1:25">
      <c r="A27" s="123"/>
      <c r="B27" s="123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55"/>
      <c r="S27" s="102"/>
      <c r="T27" s="1"/>
      <c r="U27" s="123"/>
      <c r="V27" s="1"/>
      <c r="W27" s="1"/>
      <c r="X27" s="1"/>
      <c r="Y27" s="1"/>
    </row>
    <row r="28" spans="1:25">
      <c r="A28" s="123"/>
      <c r="B28" s="123"/>
      <c r="C28" s="1"/>
      <c r="D28" s="1"/>
      <c r="E28" s="1"/>
      <c r="F28" s="1"/>
      <c r="G28" s="102"/>
      <c r="H28" s="1"/>
      <c r="I28" s="1"/>
      <c r="J28" s="1"/>
      <c r="K28" s="1"/>
      <c r="L28" s="1"/>
      <c r="M28" s="1"/>
      <c r="N28" s="1"/>
      <c r="O28" s="1"/>
      <c r="P28" s="1"/>
      <c r="Q28" s="1"/>
      <c r="R28" s="22"/>
      <c r="S28" s="1"/>
      <c r="T28" s="1"/>
      <c r="U28" s="1"/>
      <c r="V28" s="1"/>
      <c r="W28" s="1"/>
      <c r="X28" s="1"/>
      <c r="Y28" s="1"/>
    </row>
    <row r="29" spans="1:25">
      <c r="A29" s="123"/>
      <c r="B29" s="12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2"/>
      <c r="S29" s="1"/>
      <c r="T29" s="1"/>
      <c r="U29" s="1"/>
      <c r="V29" s="1"/>
      <c r="W29" s="1"/>
      <c r="X29" s="1"/>
      <c r="Y29" s="1"/>
    </row>
    <row r="30" spans="1:25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33"/>
      <c r="S30" s="123"/>
      <c r="T30" s="1"/>
      <c r="U30" s="1"/>
      <c r="V30" s="1"/>
      <c r="W30" s="1"/>
      <c r="X30" s="1"/>
      <c r="Y30" s="1"/>
    </row>
    <row r="31" spans="1:25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33"/>
      <c r="S31" s="123"/>
      <c r="T31" s="1"/>
      <c r="U31" s="1"/>
      <c r="V31" s="1"/>
      <c r="W31" s="1"/>
      <c r="X31" s="1"/>
      <c r="Y31" s="1"/>
    </row>
    <row r="32" spans="1:25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33"/>
      <c r="S32" s="123"/>
      <c r="T32" s="1"/>
      <c r="U32" s="1"/>
      <c r="V32" s="1"/>
      <c r="W32" s="1"/>
      <c r="X32" s="1"/>
      <c r="Y32" s="1"/>
    </row>
    <row r="33" spans="1:25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33"/>
      <c r="S33" s="123"/>
      <c r="T33" s="1"/>
      <c r="U33" s="1"/>
      <c r="V33" s="1"/>
      <c r="W33" s="1"/>
      <c r="X33" s="1"/>
      <c r="Y33" s="1"/>
    </row>
    <row r="34" spans="1:25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33"/>
      <c r="S34" s="123"/>
      <c r="T34" s="1"/>
      <c r="U34" s="1"/>
      <c r="V34" s="1"/>
      <c r="W34" s="1"/>
      <c r="X34" s="1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2"/>
      <c r="S35" s="1"/>
      <c r="T35" s="1"/>
      <c r="U35" s="1"/>
      <c r="V35" s="1"/>
      <c r="W35" s="1"/>
      <c r="X35" s="1"/>
      <c r="Y35" s="1"/>
    </row>
  </sheetData>
  <hyperlinks>
    <hyperlink ref="A1" location="'Huestes de la Oscuridad'!A1" display="Los Reinos Caídos: Los Reinos del Este"/>
  </hyperlinks>
  <pageMargins left="0.7" right="0.7" top="0.75" bottom="0.75" header="0.3" footer="0.3"/>
  <ignoredErrors>
    <ignoredError sqref="Q4 R3 R6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>
  <dimension ref="A1:AB48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12" width="3.28515625" customWidth="1"/>
    <col min="13" max="15" width="9.7109375" customWidth="1"/>
  </cols>
  <sheetData>
    <row r="1" spans="1:28" ht="170.1" customHeight="1">
      <c r="A1" s="175" t="s">
        <v>389</v>
      </c>
      <c r="B1" s="4" t="s">
        <v>3</v>
      </c>
      <c r="C1" s="5" t="s">
        <v>4</v>
      </c>
      <c r="D1" s="5" t="s">
        <v>226</v>
      </c>
      <c r="E1" s="5" t="s">
        <v>7</v>
      </c>
      <c r="F1" s="5" t="s">
        <v>148</v>
      </c>
      <c r="G1" s="5" t="s">
        <v>390</v>
      </c>
      <c r="H1" s="5" t="s">
        <v>391</v>
      </c>
      <c r="I1" s="5" t="s">
        <v>392</v>
      </c>
      <c r="J1" s="5" t="s">
        <v>243</v>
      </c>
      <c r="K1" s="5" t="s">
        <v>244</v>
      </c>
      <c r="L1" s="5" t="s">
        <v>245</v>
      </c>
      <c r="M1" s="5" t="s">
        <v>24</v>
      </c>
      <c r="N1" s="5" t="s">
        <v>0</v>
      </c>
      <c r="O1" s="5" t="s">
        <v>25</v>
      </c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>
      <c r="A2" s="6" t="s">
        <v>393</v>
      </c>
      <c r="B2" s="7">
        <v>60</v>
      </c>
      <c r="C2" s="157"/>
      <c r="D2" s="157"/>
      <c r="E2" s="158"/>
      <c r="F2" s="158"/>
      <c r="G2" s="158"/>
      <c r="H2" s="157"/>
      <c r="I2" s="157"/>
      <c r="J2" s="157"/>
      <c r="K2" s="157"/>
      <c r="L2" s="158"/>
      <c r="M2" s="7"/>
      <c r="N2" s="12">
        <f>M2*B2</f>
        <v>0</v>
      </c>
      <c r="O2" s="13">
        <f>3*M2</f>
        <v>0</v>
      </c>
      <c r="P2" s="1"/>
      <c r="Q2" s="60"/>
      <c r="R2" s="44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28">
      <c r="A3" s="6" t="s">
        <v>394</v>
      </c>
      <c r="B3" s="7">
        <v>90</v>
      </c>
      <c r="C3" s="159"/>
      <c r="D3" s="159"/>
      <c r="E3" s="160"/>
      <c r="F3" s="160"/>
      <c r="G3" s="160"/>
      <c r="H3" s="159"/>
      <c r="I3" s="159"/>
      <c r="J3" s="159"/>
      <c r="K3" s="159"/>
      <c r="L3" s="161"/>
      <c r="M3" s="7"/>
      <c r="N3" s="12">
        <f t="shared" ref="N3:N5" si="0">M3*B3</f>
        <v>0</v>
      </c>
      <c r="O3" s="13">
        <f>2*M3</f>
        <v>0</v>
      </c>
      <c r="P3" s="1"/>
      <c r="Q3" s="60"/>
      <c r="R3" s="44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>
      <c r="A4" s="6" t="s">
        <v>395</v>
      </c>
      <c r="B4" s="7">
        <v>55</v>
      </c>
      <c r="C4" s="157"/>
      <c r="D4" s="157"/>
      <c r="E4" s="158"/>
      <c r="F4" s="158"/>
      <c r="G4" s="158"/>
      <c r="H4" s="157"/>
      <c r="I4" s="157"/>
      <c r="J4" s="157"/>
      <c r="K4" s="157"/>
      <c r="L4" s="158"/>
      <c r="M4" s="12"/>
      <c r="N4" s="12">
        <f t="shared" si="0"/>
        <v>0</v>
      </c>
      <c r="O4" s="13">
        <f>3*M4</f>
        <v>0</v>
      </c>
      <c r="P4" s="1"/>
      <c r="Q4" s="60"/>
      <c r="R4" s="44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>
      <c r="A5" s="6" t="s">
        <v>396</v>
      </c>
      <c r="B5" s="7">
        <v>75</v>
      </c>
      <c r="C5" s="159"/>
      <c r="D5" s="159"/>
      <c r="E5" s="160"/>
      <c r="F5" s="160"/>
      <c r="G5" s="160"/>
      <c r="H5" s="159"/>
      <c r="I5" s="159"/>
      <c r="J5" s="159"/>
      <c r="K5" s="159"/>
      <c r="L5" s="161"/>
      <c r="M5" s="12"/>
      <c r="N5" s="12">
        <f t="shared" si="0"/>
        <v>0</v>
      </c>
      <c r="O5" s="13">
        <f>1*M5</f>
        <v>0</v>
      </c>
      <c r="P5" s="1"/>
      <c r="Q5" s="60"/>
      <c r="R5" s="44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>
      <c r="A6" s="6" t="s">
        <v>397</v>
      </c>
      <c r="B6" s="7">
        <v>35</v>
      </c>
      <c r="C6" s="48"/>
      <c r="D6" s="48"/>
      <c r="E6" s="158"/>
      <c r="F6" s="158"/>
      <c r="G6" s="158"/>
      <c r="H6" s="157"/>
      <c r="I6" s="157"/>
      <c r="J6" s="157"/>
      <c r="K6" s="157"/>
      <c r="L6" s="158"/>
      <c r="M6" s="12"/>
      <c r="N6" s="12">
        <f>M6*B6+(5*C6+5*D6)</f>
        <v>0</v>
      </c>
      <c r="O6" s="13">
        <f>2*M6</f>
        <v>0</v>
      </c>
      <c r="P6" s="1"/>
      <c r="Q6" s="60"/>
      <c r="R6" s="44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>
      <c r="A7" s="6" t="s">
        <v>398</v>
      </c>
      <c r="B7" s="7">
        <v>45</v>
      </c>
      <c r="C7" s="159"/>
      <c r="D7" s="159"/>
      <c r="E7" s="160"/>
      <c r="F7" s="160"/>
      <c r="G7" s="160"/>
      <c r="H7" s="159"/>
      <c r="I7" s="159"/>
      <c r="J7" s="159"/>
      <c r="K7" s="159"/>
      <c r="L7" s="161"/>
      <c r="M7" s="18"/>
      <c r="N7" s="12">
        <f>M7*B7</f>
        <v>0</v>
      </c>
      <c r="O7" s="13">
        <f>1*M7</f>
        <v>0</v>
      </c>
      <c r="P7" s="1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28">
      <c r="A8" s="162" t="s">
        <v>399</v>
      </c>
      <c r="B8" s="7">
        <v>45</v>
      </c>
      <c r="C8" s="157"/>
      <c r="D8" s="157"/>
      <c r="E8" s="158"/>
      <c r="F8" s="158"/>
      <c r="G8" s="158"/>
      <c r="H8" s="157"/>
      <c r="I8" s="157"/>
      <c r="J8" s="157"/>
      <c r="K8" s="157"/>
      <c r="L8" s="158"/>
      <c r="M8" s="12"/>
      <c r="N8" s="12">
        <f t="shared" ref="N8:N11" si="1">M8*B8</f>
        <v>0</v>
      </c>
      <c r="O8" s="13">
        <f>2*M8</f>
        <v>0</v>
      </c>
      <c r="P8" s="1"/>
      <c r="Q8" s="60"/>
      <c r="R8" s="44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8">
      <c r="A9" s="162" t="s">
        <v>400</v>
      </c>
      <c r="B9" s="7">
        <v>50</v>
      </c>
      <c r="C9" s="159"/>
      <c r="D9" s="159"/>
      <c r="E9" s="160"/>
      <c r="F9" s="160"/>
      <c r="G9" s="160"/>
      <c r="H9" s="159"/>
      <c r="I9" s="159"/>
      <c r="J9" s="159"/>
      <c r="K9" s="159"/>
      <c r="L9" s="161"/>
      <c r="M9" s="12"/>
      <c r="N9" s="12">
        <f t="shared" si="1"/>
        <v>0</v>
      </c>
      <c r="O9" s="13">
        <f>1*M9</f>
        <v>0</v>
      </c>
      <c r="P9" s="1"/>
      <c r="Q9" s="60"/>
      <c r="R9" s="44"/>
      <c r="S9" s="60"/>
      <c r="T9" s="60"/>
      <c r="U9" s="60"/>
      <c r="V9" s="60"/>
      <c r="W9" s="60"/>
      <c r="X9" s="60"/>
      <c r="Y9" s="60"/>
      <c r="Z9" s="60"/>
      <c r="AA9" s="60"/>
      <c r="AB9" s="60"/>
    </row>
    <row r="10" spans="1:28">
      <c r="A10" s="6" t="s">
        <v>401</v>
      </c>
      <c r="B10" s="19">
        <v>55</v>
      </c>
      <c r="C10" s="157"/>
      <c r="D10" s="157"/>
      <c r="E10" s="158"/>
      <c r="F10" s="158"/>
      <c r="G10" s="158"/>
      <c r="H10" s="157"/>
      <c r="I10" s="157"/>
      <c r="J10" s="157"/>
      <c r="K10" s="157"/>
      <c r="L10" s="158"/>
      <c r="M10" s="18"/>
      <c r="N10" s="12">
        <f t="shared" si="1"/>
        <v>0</v>
      </c>
      <c r="O10" s="13">
        <f>1*M10</f>
        <v>0</v>
      </c>
      <c r="P10" s="1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</row>
    <row r="11" spans="1:28">
      <c r="A11" s="6" t="s">
        <v>402</v>
      </c>
      <c r="B11" s="19">
        <v>400</v>
      </c>
      <c r="C11" s="159"/>
      <c r="D11" s="159"/>
      <c r="E11" s="160"/>
      <c r="F11" s="160"/>
      <c r="G11" s="160"/>
      <c r="H11" s="159"/>
      <c r="I11" s="159"/>
      <c r="J11" s="159"/>
      <c r="K11" s="159"/>
      <c r="L11" s="161"/>
      <c r="M11" s="18"/>
      <c r="N11" s="12">
        <f t="shared" si="1"/>
        <v>0</v>
      </c>
      <c r="O11" s="13">
        <f>0*M11</f>
        <v>0</v>
      </c>
      <c r="P11" s="1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</row>
    <row r="12" spans="1:28">
      <c r="A12" s="6" t="s">
        <v>282</v>
      </c>
      <c r="B12" s="19">
        <v>250</v>
      </c>
      <c r="C12" s="157"/>
      <c r="D12" s="157"/>
      <c r="E12" s="158"/>
      <c r="F12" s="158"/>
      <c r="G12" s="158"/>
      <c r="H12" s="157"/>
      <c r="I12" s="48"/>
      <c r="J12" s="48"/>
      <c r="K12" s="48"/>
      <c r="L12" s="122"/>
      <c r="M12" s="18"/>
      <c r="N12" s="12">
        <f>M12*B12+(50*I12+50*J12+50*K12+50*L12)</f>
        <v>0</v>
      </c>
      <c r="O12" s="13">
        <f>3*M12</f>
        <v>0</v>
      </c>
      <c r="P12" s="1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</row>
    <row r="13" spans="1:28">
      <c r="A13" s="6" t="s">
        <v>283</v>
      </c>
      <c r="B13" s="7">
        <v>175</v>
      </c>
      <c r="C13" s="159"/>
      <c r="D13" s="159"/>
      <c r="E13" s="160"/>
      <c r="F13" s="160"/>
      <c r="G13" s="160"/>
      <c r="H13" s="159"/>
      <c r="I13" s="159"/>
      <c r="J13" s="159"/>
      <c r="K13" s="159"/>
      <c r="L13" s="161"/>
      <c r="M13" s="12"/>
      <c r="N13" s="12">
        <f>M13*B13</f>
        <v>0</v>
      </c>
      <c r="O13" s="13">
        <f>1*M13</f>
        <v>0</v>
      </c>
      <c r="P13" s="1"/>
      <c r="Q13" s="60"/>
      <c r="R13" s="44"/>
      <c r="S13" s="60"/>
      <c r="T13" s="60"/>
      <c r="U13" s="60"/>
      <c r="V13" s="60"/>
      <c r="W13" s="60"/>
      <c r="X13" s="60"/>
      <c r="Y13" s="60"/>
      <c r="Z13" s="60"/>
      <c r="AA13" s="60"/>
      <c r="AB13" s="60"/>
    </row>
    <row r="14" spans="1:28">
      <c r="A14" s="6" t="s">
        <v>403</v>
      </c>
      <c r="B14" s="19">
        <v>250</v>
      </c>
      <c r="C14" s="157"/>
      <c r="D14" s="157"/>
      <c r="E14" s="158"/>
      <c r="F14" s="158"/>
      <c r="G14" s="158"/>
      <c r="H14" s="157"/>
      <c r="I14" s="157"/>
      <c r="J14" s="157"/>
      <c r="K14" s="157"/>
      <c r="L14" s="158"/>
      <c r="M14" s="18"/>
      <c r="N14" s="12">
        <f t="shared" ref="N14:N15" si="2">M14*B14</f>
        <v>0</v>
      </c>
      <c r="O14" s="13">
        <f>1*M14</f>
        <v>0</v>
      </c>
      <c r="P14" s="1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</row>
    <row r="15" spans="1:28">
      <c r="A15" s="6" t="s">
        <v>281</v>
      </c>
      <c r="B15" s="19">
        <v>115</v>
      </c>
      <c r="C15" s="159"/>
      <c r="D15" s="159"/>
      <c r="E15" s="160"/>
      <c r="F15" s="160"/>
      <c r="G15" s="160"/>
      <c r="H15" s="159"/>
      <c r="I15" s="159"/>
      <c r="J15" s="159"/>
      <c r="K15" s="159"/>
      <c r="L15" s="161"/>
      <c r="M15" s="18"/>
      <c r="N15" s="12">
        <f t="shared" si="2"/>
        <v>0</v>
      </c>
      <c r="O15" s="13">
        <f>2*M15</f>
        <v>0</v>
      </c>
      <c r="P15" s="1"/>
      <c r="Q15" s="60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</row>
    <row r="16" spans="1:28">
      <c r="A16" s="6" t="s">
        <v>404</v>
      </c>
      <c r="B16" s="7">
        <v>4</v>
      </c>
      <c r="C16" s="48"/>
      <c r="D16" s="48"/>
      <c r="E16" s="122"/>
      <c r="F16" s="158"/>
      <c r="G16" s="158"/>
      <c r="H16" s="157"/>
      <c r="I16" s="157"/>
      <c r="J16" s="157"/>
      <c r="K16" s="157"/>
      <c r="L16" s="158"/>
      <c r="M16" s="12"/>
      <c r="N16" s="12">
        <f>M16*B16+(1*C16+1*D16+1*E16)</f>
        <v>0</v>
      </c>
      <c r="O16" s="22"/>
      <c r="P16" s="1"/>
      <c r="Q16" s="60"/>
      <c r="R16" s="44"/>
      <c r="S16" s="60"/>
      <c r="T16" s="60"/>
      <c r="U16" s="60"/>
      <c r="V16" s="60"/>
      <c r="W16" s="60"/>
      <c r="X16" s="60"/>
      <c r="Y16" s="60"/>
      <c r="Z16" s="60"/>
      <c r="AA16" s="60"/>
      <c r="AB16" s="60"/>
    </row>
    <row r="17" spans="1:28">
      <c r="A17" s="6" t="s">
        <v>405</v>
      </c>
      <c r="B17" s="7">
        <v>100</v>
      </c>
      <c r="C17" s="159"/>
      <c r="D17" s="159"/>
      <c r="E17" s="160"/>
      <c r="F17" s="160"/>
      <c r="G17" s="160"/>
      <c r="H17" s="159"/>
      <c r="I17" s="159"/>
      <c r="J17" s="159"/>
      <c r="K17" s="159"/>
      <c r="L17" s="161"/>
      <c r="M17" s="12"/>
      <c r="N17" s="12">
        <f>M17*B17</f>
        <v>0</v>
      </c>
      <c r="O17" s="22"/>
      <c r="P17" s="1"/>
      <c r="Q17" s="60"/>
      <c r="R17" s="44"/>
      <c r="S17" s="60"/>
      <c r="T17" s="60"/>
      <c r="U17" s="60"/>
      <c r="V17" s="60"/>
      <c r="W17" s="60"/>
      <c r="X17" s="60"/>
      <c r="Y17" s="60"/>
      <c r="Z17" s="60"/>
      <c r="AA17" s="60"/>
      <c r="AB17" s="60"/>
    </row>
    <row r="18" spans="1:28">
      <c r="A18" s="163" t="s">
        <v>406</v>
      </c>
      <c r="B18" s="19">
        <v>100</v>
      </c>
      <c r="C18" s="157"/>
      <c r="D18" s="157"/>
      <c r="E18" s="158"/>
      <c r="F18" s="158"/>
      <c r="G18" s="158"/>
      <c r="H18" s="157"/>
      <c r="I18" s="157"/>
      <c r="J18" s="157"/>
      <c r="K18" s="157"/>
      <c r="L18" s="158"/>
      <c r="M18" s="19"/>
      <c r="N18" s="12">
        <f t="shared" ref="N18:N20" si="3">M18*B18</f>
        <v>0</v>
      </c>
      <c r="O18" s="22"/>
      <c r="P18" s="1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</row>
    <row r="19" spans="1:28">
      <c r="A19" s="23" t="s">
        <v>407</v>
      </c>
      <c r="B19" s="19">
        <v>35</v>
      </c>
      <c r="C19" s="159"/>
      <c r="D19" s="159"/>
      <c r="E19" s="160"/>
      <c r="F19" s="160"/>
      <c r="G19" s="160"/>
      <c r="H19" s="159"/>
      <c r="I19" s="159"/>
      <c r="J19" s="159"/>
      <c r="K19" s="159"/>
      <c r="L19" s="161"/>
      <c r="M19" s="18"/>
      <c r="N19" s="12">
        <f t="shared" si="3"/>
        <v>0</v>
      </c>
      <c r="O19" s="22"/>
      <c r="P19" s="1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</row>
    <row r="20" spans="1:28">
      <c r="A20" s="23" t="s">
        <v>408</v>
      </c>
      <c r="B20" s="19">
        <v>35</v>
      </c>
      <c r="C20" s="157"/>
      <c r="D20" s="157"/>
      <c r="E20" s="158"/>
      <c r="F20" s="158"/>
      <c r="G20" s="158"/>
      <c r="H20" s="157"/>
      <c r="I20" s="157"/>
      <c r="J20" s="157"/>
      <c r="K20" s="157"/>
      <c r="L20" s="158"/>
      <c r="M20" s="18"/>
      <c r="N20" s="12">
        <f t="shared" si="3"/>
        <v>0</v>
      </c>
      <c r="O20" s="22"/>
      <c r="P20" s="1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</row>
    <row r="21" spans="1:28">
      <c r="A21" s="34" t="s">
        <v>409</v>
      </c>
      <c r="B21" s="12">
        <v>7</v>
      </c>
      <c r="C21" s="48"/>
      <c r="D21" s="48"/>
      <c r="E21" s="160"/>
      <c r="F21" s="37"/>
      <c r="G21" s="160"/>
      <c r="H21" s="159"/>
      <c r="I21" s="159"/>
      <c r="J21" s="159"/>
      <c r="K21" s="159"/>
      <c r="L21" s="161"/>
      <c r="M21" s="18"/>
      <c r="N21" s="12">
        <f>M21*B21+(1*C21+1*D21+1*F21)</f>
        <v>0</v>
      </c>
      <c r="O21" s="22"/>
      <c r="P21" s="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</row>
    <row r="22" spans="1:28">
      <c r="A22" s="34" t="s">
        <v>410</v>
      </c>
      <c r="B22" s="12">
        <v>8</v>
      </c>
      <c r="C22" s="157"/>
      <c r="D22" s="157"/>
      <c r="E22" s="122"/>
      <c r="F22" s="158"/>
      <c r="G22" s="158"/>
      <c r="H22" s="157"/>
      <c r="I22" s="157"/>
      <c r="J22" s="157"/>
      <c r="K22" s="157"/>
      <c r="L22" s="158"/>
      <c r="M22" s="18"/>
      <c r="N22" s="12">
        <f>M22*B22+(1*E22)</f>
        <v>0</v>
      </c>
      <c r="O22" s="22"/>
      <c r="P22" s="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</row>
    <row r="23" spans="1:28">
      <c r="A23" s="34" t="s">
        <v>411</v>
      </c>
      <c r="B23" s="12">
        <v>75</v>
      </c>
      <c r="C23" s="159"/>
      <c r="D23" s="159"/>
      <c r="E23" s="160"/>
      <c r="F23" s="160"/>
      <c r="G23" s="160"/>
      <c r="H23" s="159"/>
      <c r="I23" s="159"/>
      <c r="J23" s="159"/>
      <c r="K23" s="159"/>
      <c r="L23" s="161"/>
      <c r="M23" s="18"/>
      <c r="N23" s="12">
        <f>M23*B23</f>
        <v>0</v>
      </c>
      <c r="O23" s="22"/>
      <c r="P23" s="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</row>
    <row r="24" spans="1:28">
      <c r="A24" s="34" t="s">
        <v>412</v>
      </c>
      <c r="B24" s="12">
        <v>8</v>
      </c>
      <c r="C24" s="157"/>
      <c r="D24" s="157"/>
      <c r="E24" s="158"/>
      <c r="F24" s="158"/>
      <c r="G24" s="158"/>
      <c r="H24" s="157"/>
      <c r="I24" s="157"/>
      <c r="J24" s="157"/>
      <c r="K24" s="157"/>
      <c r="L24" s="158"/>
      <c r="M24" s="18"/>
      <c r="N24" s="12">
        <f>M24*B24</f>
        <v>0</v>
      </c>
      <c r="O24" s="22"/>
      <c r="P24" s="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</row>
    <row r="25" spans="1:28">
      <c r="A25" s="34" t="s">
        <v>294</v>
      </c>
      <c r="B25" s="12">
        <v>20</v>
      </c>
      <c r="C25" s="159"/>
      <c r="D25" s="159"/>
      <c r="E25" s="160"/>
      <c r="F25" s="160"/>
      <c r="G25" s="160"/>
      <c r="H25" s="48"/>
      <c r="I25" s="159"/>
      <c r="J25" s="159"/>
      <c r="K25" s="159"/>
      <c r="L25" s="161"/>
      <c r="M25" s="18"/>
      <c r="N25" s="12">
        <f>M25*B25+(2*H25)</f>
        <v>0</v>
      </c>
      <c r="O25" s="22"/>
      <c r="P25" s="1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</row>
    <row r="26" spans="1:28">
      <c r="A26" s="34" t="s">
        <v>413</v>
      </c>
      <c r="B26" s="19">
        <v>80</v>
      </c>
      <c r="C26" s="157"/>
      <c r="D26" s="157"/>
      <c r="E26" s="122"/>
      <c r="F26" s="158"/>
      <c r="G26" s="122"/>
      <c r="H26" s="157"/>
      <c r="I26" s="157"/>
      <c r="J26" s="157"/>
      <c r="K26" s="157"/>
      <c r="L26" s="158"/>
      <c r="M26" s="7"/>
      <c r="N26" s="12">
        <f>M26*B26+(1*E26+5*G26)</f>
        <v>0</v>
      </c>
      <c r="O26" s="22"/>
      <c r="P26" s="1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</row>
    <row r="27" spans="1:28">
      <c r="A27" s="3"/>
      <c r="B27" s="35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29"/>
      <c r="N27" s="29"/>
      <c r="O27" s="134"/>
      <c r="P27" s="1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</row>
    <row r="28" spans="1:28" ht="15.75" thickBot="1">
      <c r="A28" s="3"/>
      <c r="B28" s="35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27" t="s">
        <v>46</v>
      </c>
      <c r="N28" s="30" t="s">
        <v>47</v>
      </c>
      <c r="O28" s="22" t="s">
        <v>46</v>
      </c>
      <c r="P28" s="1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</row>
    <row r="29" spans="1:28" ht="15.75" thickBot="1">
      <c r="A29" s="2"/>
      <c r="B29" s="27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31">
        <f>SUM(M2:M26)</f>
        <v>0</v>
      </c>
      <c r="N29" s="32">
        <f>SUM(N2:N26)</f>
        <v>0</v>
      </c>
      <c r="O29" s="132">
        <f>SUM(O2:O15)</f>
        <v>0</v>
      </c>
      <c r="P29" s="1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</row>
    <row r="30" spans="1:28">
      <c r="A30" s="2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12"/>
      <c r="N30" s="27"/>
      <c r="O30" s="133"/>
      <c r="P30" s="1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</row>
    <row r="31" spans="1:28">
      <c r="A31" s="2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 t="s">
        <v>1</v>
      </c>
      <c r="N31" s="27"/>
      <c r="O31" s="134"/>
      <c r="P31" s="1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</row>
    <row r="32" spans="1:28">
      <c r="A32" s="2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37">
        <f>ROUNDUP(M29/3,0)</f>
        <v>0</v>
      </c>
      <c r="N32" s="35"/>
      <c r="O32" s="125"/>
      <c r="P32" s="1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</row>
    <row r="33" spans="1:28">
      <c r="A33" s="2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</row>
    <row r="34" spans="1:28">
      <c r="A34" s="2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</row>
    <row r="35" spans="1:28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</row>
    <row r="36" spans="1:28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</row>
    <row r="37" spans="1:28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</row>
    <row r="38" spans="1:28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</row>
    <row r="39" spans="1:28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</row>
    <row r="40" spans="1:28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</row>
    <row r="41" spans="1:28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</row>
    <row r="42" spans="1:28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</row>
    <row r="43" spans="1:28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</row>
    <row r="44" spans="1:28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</row>
    <row r="45" spans="1:28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</row>
    <row r="46" spans="1:28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</row>
    <row r="47" spans="1:28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</row>
    <row r="48" spans="1:28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</row>
  </sheetData>
  <hyperlinks>
    <hyperlink ref="A1" location="'Huestes de la Oscuridad'!A1" display="Moria y Angmar: Moria"/>
  </hyperlinks>
  <pageMargins left="0.7" right="0.7" top="0.75" bottom="0.75" header="0.3" footer="0.3"/>
  <pageSetup paperSize="9" orientation="portrait" horizontalDpi="1200" verticalDpi="1200" r:id="rId1"/>
  <ignoredErrors>
    <ignoredError sqref="N6:O6 O3 O7:O8 N12 N16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>
  <dimension ref="A1:AD38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21" width="3.28515625" customWidth="1"/>
    <col min="22" max="24" width="9.7109375" customWidth="1"/>
  </cols>
  <sheetData>
    <row r="1" spans="1:30" ht="170.1" customHeight="1">
      <c r="A1" s="175" t="s">
        <v>414</v>
      </c>
      <c r="B1" s="4" t="s">
        <v>3</v>
      </c>
      <c r="C1" s="5" t="s">
        <v>4</v>
      </c>
      <c r="D1" s="5" t="s">
        <v>226</v>
      </c>
      <c r="E1" s="5" t="s">
        <v>7</v>
      </c>
      <c r="F1" s="5" t="s">
        <v>148</v>
      </c>
      <c r="G1" s="5" t="s">
        <v>227</v>
      </c>
      <c r="H1" s="5" t="s">
        <v>390</v>
      </c>
      <c r="I1" s="5" t="s">
        <v>10</v>
      </c>
      <c r="J1" s="5" t="s">
        <v>232</v>
      </c>
      <c r="K1" s="5" t="s">
        <v>11</v>
      </c>
      <c r="L1" s="5" t="s">
        <v>12</v>
      </c>
      <c r="M1" s="5" t="s">
        <v>233</v>
      </c>
      <c r="N1" s="5" t="s">
        <v>234</v>
      </c>
      <c r="O1" s="5" t="s">
        <v>235</v>
      </c>
      <c r="P1" s="5" t="s">
        <v>237</v>
      </c>
      <c r="Q1" s="5" t="s">
        <v>238</v>
      </c>
      <c r="R1" s="5" t="s">
        <v>236</v>
      </c>
      <c r="S1" s="117" t="s">
        <v>239</v>
      </c>
      <c r="T1" s="117" t="s">
        <v>240</v>
      </c>
      <c r="U1" s="117" t="s">
        <v>241</v>
      </c>
      <c r="V1" s="5" t="s">
        <v>24</v>
      </c>
      <c r="W1" s="5" t="s">
        <v>0</v>
      </c>
      <c r="X1" s="5" t="s">
        <v>25</v>
      </c>
      <c r="Y1" s="52"/>
      <c r="Z1" s="52"/>
      <c r="AA1" s="52"/>
      <c r="AB1" s="52"/>
      <c r="AC1" s="1"/>
      <c r="AD1" s="1"/>
    </row>
    <row r="2" spans="1:30">
      <c r="A2" s="6" t="s">
        <v>253</v>
      </c>
      <c r="B2" s="7">
        <v>70</v>
      </c>
      <c r="C2" s="164"/>
      <c r="D2" s="164"/>
      <c r="E2" s="165"/>
      <c r="F2" s="165"/>
      <c r="G2" s="165"/>
      <c r="H2" s="164"/>
      <c r="I2" s="164"/>
      <c r="J2" s="164"/>
      <c r="K2" s="164"/>
      <c r="L2" s="45"/>
      <c r="M2" s="166"/>
      <c r="N2" s="166"/>
      <c r="O2" s="166"/>
      <c r="P2" s="48"/>
      <c r="Q2" s="48"/>
      <c r="R2" s="37"/>
      <c r="S2" s="48"/>
      <c r="T2" s="48"/>
      <c r="U2" s="48"/>
      <c r="V2" s="7"/>
      <c r="W2" s="12">
        <f>V2*B2+(15*L2+50*M2+70*N2+75*O2+10*P2+5*Q2+30*R2+5*S2+5*T2+5*U2)</f>
        <v>0</v>
      </c>
      <c r="X2" s="13">
        <f>0*V2+(S2)</f>
        <v>0</v>
      </c>
      <c r="Y2" s="60"/>
      <c r="Z2" s="60"/>
      <c r="AA2" s="60"/>
      <c r="AB2" s="60"/>
      <c r="AC2" s="1"/>
      <c r="AD2" s="1"/>
    </row>
    <row r="3" spans="1:30">
      <c r="A3" s="6" t="s">
        <v>415</v>
      </c>
      <c r="B3" s="7">
        <v>120</v>
      </c>
      <c r="C3" s="167"/>
      <c r="D3" s="167"/>
      <c r="E3" s="167"/>
      <c r="F3" s="167"/>
      <c r="G3" s="167"/>
      <c r="H3" s="167"/>
      <c r="I3" s="167"/>
      <c r="J3" s="167"/>
      <c r="K3" s="37"/>
      <c r="L3" s="37"/>
      <c r="M3" s="37"/>
      <c r="N3" s="37"/>
      <c r="O3" s="37"/>
      <c r="P3" s="167"/>
      <c r="Q3" s="167"/>
      <c r="R3" s="167"/>
      <c r="S3" s="167"/>
      <c r="T3" s="167"/>
      <c r="U3" s="167"/>
      <c r="V3" s="7"/>
      <c r="W3" s="12">
        <f>V3*B3+(10*K3+15*L3+50*M3+70*N3+75*O3)</f>
        <v>0</v>
      </c>
      <c r="X3" s="13">
        <f>0*V3</f>
        <v>0</v>
      </c>
      <c r="Y3" s="60"/>
      <c r="Z3" s="60"/>
      <c r="AA3" s="60"/>
      <c r="AB3" s="60"/>
      <c r="AC3" s="1"/>
      <c r="AD3" s="1"/>
    </row>
    <row r="4" spans="1:30">
      <c r="A4" s="6" t="s">
        <v>262</v>
      </c>
      <c r="B4" s="7">
        <v>120</v>
      </c>
      <c r="C4" s="164"/>
      <c r="D4" s="164"/>
      <c r="E4" s="165"/>
      <c r="F4" s="165"/>
      <c r="G4" s="165"/>
      <c r="H4" s="164"/>
      <c r="I4" s="164"/>
      <c r="J4" s="164"/>
      <c r="K4" s="37"/>
      <c r="L4" s="37"/>
      <c r="M4" s="37"/>
      <c r="N4" s="37"/>
      <c r="O4" s="37"/>
      <c r="P4" s="164"/>
      <c r="Q4" s="164"/>
      <c r="R4" s="165"/>
      <c r="S4" s="164"/>
      <c r="T4" s="164"/>
      <c r="U4" s="164"/>
      <c r="V4" s="12"/>
      <c r="W4" s="12">
        <f>V4*B4+(10*K4+15*L4+50*M4+70*N4+75*O4)</f>
        <v>0</v>
      </c>
      <c r="X4" s="13">
        <f>1*V4</f>
        <v>0</v>
      </c>
      <c r="Y4" s="60"/>
      <c r="Z4" s="60"/>
      <c r="AA4" s="60"/>
      <c r="AB4" s="60"/>
      <c r="AC4" s="1"/>
      <c r="AD4" s="1"/>
    </row>
    <row r="5" spans="1:30">
      <c r="A5" s="6" t="s">
        <v>416</v>
      </c>
      <c r="B5" s="7">
        <v>200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2"/>
      <c r="W5" s="12">
        <f>V5*B5</f>
        <v>0</v>
      </c>
      <c r="X5" s="13">
        <f>3*V5</f>
        <v>0</v>
      </c>
      <c r="Y5" s="60"/>
      <c r="Z5" s="60"/>
      <c r="AA5" s="60"/>
      <c r="AB5" s="60"/>
      <c r="AC5" s="1"/>
      <c r="AD5" s="1"/>
    </row>
    <row r="6" spans="1:30">
      <c r="A6" s="6" t="s">
        <v>417</v>
      </c>
      <c r="B6" s="7">
        <v>110</v>
      </c>
      <c r="C6" s="164"/>
      <c r="D6" s="164"/>
      <c r="E6" s="165"/>
      <c r="F6" s="165"/>
      <c r="G6" s="165"/>
      <c r="H6" s="164"/>
      <c r="I6" s="164"/>
      <c r="J6" s="164"/>
      <c r="K6" s="164"/>
      <c r="L6" s="164"/>
      <c r="M6" s="168"/>
      <c r="N6" s="168"/>
      <c r="O6" s="168"/>
      <c r="P6" s="164"/>
      <c r="Q6" s="164"/>
      <c r="R6" s="165"/>
      <c r="S6" s="164"/>
      <c r="T6" s="164"/>
      <c r="U6" s="164"/>
      <c r="V6" s="12"/>
      <c r="W6" s="12">
        <f t="shared" ref="W6:W8" si="0">V6*B6</f>
        <v>0</v>
      </c>
      <c r="X6" s="13">
        <f>3*V6</f>
        <v>0</v>
      </c>
      <c r="Y6" s="60"/>
      <c r="Z6" s="60"/>
      <c r="AA6" s="60"/>
      <c r="AB6" s="60"/>
      <c r="AC6" s="1"/>
      <c r="AD6" s="1"/>
    </row>
    <row r="7" spans="1:30">
      <c r="A7" s="6" t="s">
        <v>418</v>
      </c>
      <c r="B7" s="7">
        <v>50</v>
      </c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8"/>
      <c r="W7" s="12">
        <f t="shared" si="0"/>
        <v>0</v>
      </c>
      <c r="X7" s="13">
        <f>0*V7</f>
        <v>0</v>
      </c>
      <c r="Y7" s="44"/>
      <c r="Z7" s="44"/>
      <c r="AA7" s="44"/>
      <c r="AB7" s="44"/>
      <c r="AC7" s="1"/>
      <c r="AD7" s="1"/>
    </row>
    <row r="8" spans="1:30">
      <c r="A8" s="6" t="s">
        <v>419</v>
      </c>
      <c r="B8" s="7">
        <v>100</v>
      </c>
      <c r="C8" s="164"/>
      <c r="D8" s="164"/>
      <c r="E8" s="165"/>
      <c r="F8" s="165"/>
      <c r="G8" s="165"/>
      <c r="H8" s="164"/>
      <c r="I8" s="164"/>
      <c r="J8" s="164"/>
      <c r="K8" s="164"/>
      <c r="L8" s="164"/>
      <c r="M8" s="168"/>
      <c r="N8" s="168"/>
      <c r="O8" s="168"/>
      <c r="P8" s="164"/>
      <c r="Q8" s="164"/>
      <c r="R8" s="165"/>
      <c r="S8" s="164"/>
      <c r="T8" s="164"/>
      <c r="U8" s="164"/>
      <c r="V8" s="12"/>
      <c r="W8" s="12">
        <f t="shared" si="0"/>
        <v>0</v>
      </c>
      <c r="X8" s="13">
        <f>0*V8</f>
        <v>0</v>
      </c>
      <c r="Y8" s="60"/>
      <c r="Z8" s="60"/>
      <c r="AA8" s="60"/>
      <c r="AB8" s="60"/>
      <c r="AC8" s="1"/>
      <c r="AD8" s="1"/>
    </row>
    <row r="9" spans="1:30">
      <c r="A9" s="6" t="s">
        <v>270</v>
      </c>
      <c r="B9" s="7">
        <v>40</v>
      </c>
      <c r="C9" s="37"/>
      <c r="D9" s="37"/>
      <c r="E9" s="167"/>
      <c r="F9" s="167"/>
      <c r="G9" s="167"/>
      <c r="H9" s="167"/>
      <c r="I9" s="167"/>
      <c r="J9" s="3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2"/>
      <c r="W9" s="12">
        <f>V9*B9+(5*C9+5*D9+10*J9)</f>
        <v>0</v>
      </c>
      <c r="X9" s="13">
        <f>2*V9</f>
        <v>0</v>
      </c>
      <c r="Y9" s="60"/>
      <c r="Z9" s="60"/>
      <c r="AA9" s="60"/>
      <c r="AB9" s="60"/>
      <c r="AC9" s="1"/>
      <c r="AD9" s="1"/>
    </row>
    <row r="10" spans="1:30">
      <c r="A10" s="6" t="s">
        <v>420</v>
      </c>
      <c r="B10" s="19">
        <v>50</v>
      </c>
      <c r="C10" s="164"/>
      <c r="D10" s="164"/>
      <c r="E10" s="165"/>
      <c r="F10" s="165"/>
      <c r="G10" s="165"/>
      <c r="H10" s="164"/>
      <c r="I10" s="164"/>
      <c r="J10" s="48"/>
      <c r="K10" s="164"/>
      <c r="L10" s="164"/>
      <c r="M10" s="168"/>
      <c r="N10" s="168"/>
      <c r="O10" s="168"/>
      <c r="P10" s="164"/>
      <c r="Q10" s="164"/>
      <c r="R10" s="165"/>
      <c r="S10" s="164"/>
      <c r="T10" s="164"/>
      <c r="U10" s="164"/>
      <c r="V10" s="18"/>
      <c r="W10" s="12">
        <f>V10*B10+(10*J10)</f>
        <v>0</v>
      </c>
      <c r="X10" s="13">
        <f>1*V10</f>
        <v>0</v>
      </c>
      <c r="Y10" s="44"/>
      <c r="Z10" s="44"/>
      <c r="AA10" s="44"/>
      <c r="AB10" s="44"/>
      <c r="AC10" s="1"/>
      <c r="AD10" s="1"/>
    </row>
    <row r="11" spans="1:30">
      <c r="A11" s="6" t="s">
        <v>286</v>
      </c>
      <c r="B11" s="19">
        <v>5</v>
      </c>
      <c r="C11" s="100"/>
      <c r="D11" s="37"/>
      <c r="E11" s="37"/>
      <c r="F11" s="37"/>
      <c r="G11" s="167"/>
      <c r="H11" s="167"/>
      <c r="I11" s="3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8"/>
      <c r="W11" s="12">
        <f>V11*B11+(1*C11+1*D11+1*E11+1*F11+25*I11)</f>
        <v>0</v>
      </c>
      <c r="X11" s="22"/>
      <c r="Y11" s="44"/>
      <c r="Z11" s="44"/>
      <c r="AA11" s="44"/>
      <c r="AB11" s="44"/>
      <c r="AC11" s="1"/>
      <c r="AD11" s="1"/>
    </row>
    <row r="12" spans="1:30">
      <c r="A12" s="6" t="s">
        <v>287</v>
      </c>
      <c r="B12" s="19">
        <v>5</v>
      </c>
      <c r="C12" s="164"/>
      <c r="D12" s="164"/>
      <c r="E12" s="165"/>
      <c r="F12" s="165"/>
      <c r="G12" s="165"/>
      <c r="H12" s="164"/>
      <c r="I12" s="164"/>
      <c r="J12" s="48"/>
      <c r="K12" s="164"/>
      <c r="L12" s="164"/>
      <c r="M12" s="168"/>
      <c r="N12" s="168"/>
      <c r="O12" s="168"/>
      <c r="P12" s="164"/>
      <c r="Q12" s="164"/>
      <c r="R12" s="165"/>
      <c r="S12" s="164"/>
      <c r="T12" s="164"/>
      <c r="U12" s="164"/>
      <c r="V12" s="18"/>
      <c r="W12" s="12">
        <f>V12*B12+(6*J12)</f>
        <v>0</v>
      </c>
      <c r="X12" s="22"/>
      <c r="Y12" s="44"/>
      <c r="Z12" s="44"/>
      <c r="AA12" s="44"/>
      <c r="AB12" s="44"/>
      <c r="AC12" s="1"/>
      <c r="AD12" s="1"/>
    </row>
    <row r="13" spans="1:30">
      <c r="A13" s="6" t="s">
        <v>328</v>
      </c>
      <c r="B13" s="7">
        <v>12</v>
      </c>
      <c r="C13" s="37"/>
      <c r="D13" s="37"/>
      <c r="E13" s="167"/>
      <c r="F13" s="167"/>
      <c r="G13" s="37"/>
      <c r="H13" s="167"/>
      <c r="I13" s="3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2"/>
      <c r="W13" s="12">
        <f>V13*B13+(1*C13+1*D13+2*G13+25*I13)</f>
        <v>0</v>
      </c>
      <c r="X13" s="22"/>
      <c r="Y13" s="60"/>
      <c r="Z13" s="60"/>
      <c r="AA13" s="60"/>
      <c r="AB13" s="60"/>
      <c r="AC13" s="1"/>
      <c r="AD13" s="1"/>
    </row>
    <row r="14" spans="1:30">
      <c r="A14" s="6" t="s">
        <v>296</v>
      </c>
      <c r="B14" s="19">
        <v>15</v>
      </c>
      <c r="C14" s="164"/>
      <c r="D14" s="164"/>
      <c r="E14" s="165"/>
      <c r="F14" s="165"/>
      <c r="G14" s="165"/>
      <c r="H14" s="164"/>
      <c r="I14" s="164"/>
      <c r="J14" s="164"/>
      <c r="K14" s="164"/>
      <c r="L14" s="164"/>
      <c r="M14" s="168"/>
      <c r="N14" s="168"/>
      <c r="O14" s="168"/>
      <c r="P14" s="164"/>
      <c r="Q14" s="164"/>
      <c r="R14" s="165"/>
      <c r="S14" s="164"/>
      <c r="T14" s="164"/>
      <c r="U14" s="164"/>
      <c r="V14" s="18"/>
      <c r="W14" s="12">
        <f>V14*B14</f>
        <v>0</v>
      </c>
      <c r="X14" s="22"/>
      <c r="Y14" s="44"/>
      <c r="Z14" s="44"/>
      <c r="AA14" s="44"/>
      <c r="AB14" s="44"/>
      <c r="AC14" s="1"/>
      <c r="AD14" s="1"/>
    </row>
    <row r="15" spans="1:30">
      <c r="A15" s="6" t="s">
        <v>413</v>
      </c>
      <c r="B15" s="19">
        <v>80</v>
      </c>
      <c r="C15" s="167"/>
      <c r="D15" s="167"/>
      <c r="E15" s="37"/>
      <c r="F15" s="167"/>
      <c r="G15" s="167"/>
      <c r="H15" s="3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8"/>
      <c r="W15" s="12">
        <f>V15*B15+(1*E15+5*H15)</f>
        <v>0</v>
      </c>
      <c r="X15" s="22"/>
      <c r="Y15" s="44"/>
      <c r="Z15" s="44"/>
      <c r="AA15" s="44"/>
      <c r="AB15" s="44"/>
      <c r="AC15" s="1"/>
      <c r="AD15" s="1"/>
    </row>
    <row r="16" spans="1:30">
      <c r="A16" s="3"/>
      <c r="B16" s="35"/>
      <c r="C16" s="60"/>
      <c r="D16" s="60"/>
      <c r="E16" s="44"/>
      <c r="F16" s="44"/>
      <c r="G16" s="44"/>
      <c r="H16" s="60"/>
      <c r="I16" s="60"/>
      <c r="J16" s="60"/>
      <c r="K16" s="60"/>
      <c r="L16" s="60"/>
      <c r="M16" s="108"/>
      <c r="N16" s="108"/>
      <c r="O16" s="108"/>
      <c r="P16" s="60"/>
      <c r="Q16" s="60"/>
      <c r="R16" s="44"/>
      <c r="S16" s="60"/>
      <c r="T16" s="60"/>
      <c r="U16" s="60"/>
      <c r="V16" s="29"/>
      <c r="W16" s="29"/>
      <c r="X16" s="134"/>
      <c r="Y16" s="60"/>
      <c r="Z16" s="60"/>
      <c r="AA16" s="60"/>
      <c r="AB16" s="60"/>
      <c r="AC16" s="1"/>
      <c r="AD16" s="1"/>
    </row>
    <row r="17" spans="1:30" ht="15.75" thickBot="1">
      <c r="A17" s="3"/>
      <c r="B17" s="35"/>
      <c r="C17" s="60"/>
      <c r="D17" s="60"/>
      <c r="E17" s="44"/>
      <c r="F17" s="44"/>
      <c r="G17" s="44"/>
      <c r="H17" s="60"/>
      <c r="I17" s="60"/>
      <c r="J17" s="60"/>
      <c r="K17" s="60"/>
      <c r="L17" s="60"/>
      <c r="M17" s="108"/>
      <c r="N17" s="108"/>
      <c r="O17" s="108"/>
      <c r="P17" s="60"/>
      <c r="Q17" s="60"/>
      <c r="R17" s="44"/>
      <c r="S17" s="60"/>
      <c r="T17" s="60"/>
      <c r="U17" s="60"/>
      <c r="V17" s="27" t="s">
        <v>46</v>
      </c>
      <c r="W17" s="30" t="s">
        <v>47</v>
      </c>
      <c r="X17" s="22" t="s">
        <v>46</v>
      </c>
      <c r="Y17" s="60"/>
      <c r="Z17" s="60"/>
      <c r="AA17" s="60"/>
      <c r="AB17" s="60"/>
      <c r="AC17" s="1"/>
      <c r="AD17" s="1"/>
    </row>
    <row r="18" spans="1:30" ht="15.75" thickBot="1">
      <c r="A18" s="3"/>
      <c r="B18" s="35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31">
        <f>SUM(V2:V15)</f>
        <v>0</v>
      </c>
      <c r="W18" s="32">
        <f>SUM(W2:W15)</f>
        <v>0</v>
      </c>
      <c r="X18" s="132">
        <f>SUM(X2:X10)</f>
        <v>0</v>
      </c>
      <c r="Y18" s="44"/>
      <c r="Z18" s="44"/>
      <c r="AA18" s="44"/>
      <c r="AB18" s="44"/>
      <c r="AC18" s="1"/>
      <c r="AD18" s="1"/>
    </row>
    <row r="19" spans="1:30">
      <c r="A19" s="3"/>
      <c r="B19" s="35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12"/>
      <c r="W19" s="27"/>
      <c r="X19" s="1"/>
      <c r="Y19" s="44"/>
      <c r="Z19" s="44"/>
      <c r="AA19" s="44"/>
      <c r="AB19" s="44"/>
      <c r="AC19" s="1"/>
      <c r="AD19" s="1"/>
    </row>
    <row r="20" spans="1:30">
      <c r="A20" s="3"/>
      <c r="B20" s="35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27" t="s">
        <v>1</v>
      </c>
      <c r="W20" s="27"/>
      <c r="X20" s="1"/>
      <c r="Y20" s="44"/>
      <c r="Z20" s="44"/>
      <c r="AA20" s="44"/>
      <c r="AB20" s="44"/>
      <c r="AC20" s="1"/>
      <c r="AD20" s="1"/>
    </row>
    <row r="21" spans="1:30">
      <c r="A21" s="3"/>
      <c r="B21" s="35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37">
        <f>ROUNDUP(V18/3,0)</f>
        <v>0</v>
      </c>
      <c r="W21" s="35"/>
      <c r="X21" s="1"/>
      <c r="Y21" s="44"/>
      <c r="Z21" s="44"/>
      <c r="AA21" s="44"/>
      <c r="AB21" s="44"/>
      <c r="AC21" s="1"/>
      <c r="AD21" s="1"/>
    </row>
    <row r="22" spans="1:30">
      <c r="A22" s="3"/>
      <c r="B22" s="35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35"/>
    </row>
    <row r="23" spans="1:30">
      <c r="A23" s="3"/>
      <c r="B23" s="35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35"/>
    </row>
    <row r="24" spans="1:30">
      <c r="A24" s="3"/>
      <c r="B24" s="35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35"/>
    </row>
    <row r="25" spans="1:30">
      <c r="A25" s="3"/>
      <c r="B25" s="35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35"/>
    </row>
    <row r="26" spans="1:30">
      <c r="A26" s="3"/>
      <c r="B26" s="35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35"/>
      <c r="AD26" s="35"/>
    </row>
    <row r="27" spans="1:30">
      <c r="A27" s="3"/>
      <c r="B27" s="35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35"/>
    </row>
    <row r="28" spans="1:30">
      <c r="A28" s="3"/>
      <c r="B28" s="35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35"/>
    </row>
    <row r="29" spans="1:30">
      <c r="A29" s="2"/>
      <c r="B29" s="27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44"/>
      <c r="W29" s="44"/>
      <c r="X29" s="44"/>
      <c r="Y29" s="44"/>
      <c r="Z29" s="44"/>
      <c r="AA29" s="44"/>
      <c r="AB29" s="44"/>
      <c r="AC29" s="1"/>
      <c r="AD29" s="1"/>
    </row>
    <row r="30" spans="1:30">
      <c r="A30" s="2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35"/>
      <c r="W30" s="35"/>
      <c r="X30" s="35"/>
      <c r="Y30" s="35"/>
      <c r="Z30" s="35"/>
      <c r="AA30" s="35"/>
      <c r="AB30" s="35"/>
      <c r="AC30" s="1"/>
      <c r="AD30" s="1"/>
    </row>
    <row r="31" spans="1:30">
      <c r="A31" s="2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35"/>
      <c r="W31" s="35"/>
      <c r="X31" s="35"/>
      <c r="Y31" s="35"/>
      <c r="Z31" s="35"/>
      <c r="AA31" s="35"/>
      <c r="AB31" s="35"/>
      <c r="AC31" s="1"/>
      <c r="AD31" s="1"/>
    </row>
    <row r="32" spans="1:30">
      <c r="A32" s="2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35"/>
      <c r="W32" s="35"/>
      <c r="X32" s="35"/>
      <c r="Y32" s="35"/>
      <c r="Z32" s="35"/>
      <c r="AA32" s="35"/>
      <c r="AB32" s="35"/>
      <c r="AC32" s="1"/>
      <c r="AD32" s="1"/>
    </row>
    <row r="33" spans="1:30">
      <c r="A33" s="2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35"/>
      <c r="W33" s="35"/>
      <c r="X33" s="35"/>
      <c r="Y33" s="35"/>
      <c r="Z33" s="35"/>
      <c r="AA33" s="35"/>
      <c r="AB33" s="35"/>
      <c r="AC33" s="1"/>
      <c r="AD33" s="1"/>
    </row>
    <row r="34" spans="1:30">
      <c r="A34" s="2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1"/>
      <c r="AD34" s="1"/>
    </row>
    <row r="35" spans="1:30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"/>
      <c r="AD35" s="1"/>
    </row>
    <row r="36" spans="1:30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"/>
    </row>
    <row r="37" spans="1:30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"/>
    </row>
    <row r="38" spans="1:30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"/>
    </row>
  </sheetData>
  <hyperlinks>
    <hyperlink ref="A1" location="'Huestes de la Oscuridad'!A1" display="Moria y Angmar: Angmar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Z55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10" width="3.28515625" customWidth="1"/>
    <col min="11" max="13" width="9.7109375" customWidth="1"/>
    <col min="14" max="20" width="11.42578125" customWidth="1"/>
    <col min="21" max="21" width="11.42578125" style="82"/>
  </cols>
  <sheetData>
    <row r="1" spans="1:26" ht="170.1" customHeight="1">
      <c r="A1" s="175" t="s">
        <v>453</v>
      </c>
      <c r="B1" s="4" t="s">
        <v>3</v>
      </c>
      <c r="C1" s="5" t="s">
        <v>499</v>
      </c>
      <c r="D1" s="5" t="s">
        <v>226</v>
      </c>
      <c r="E1" s="5" t="s">
        <v>9</v>
      </c>
      <c r="F1" s="5" t="s">
        <v>10</v>
      </c>
      <c r="G1" s="5" t="s">
        <v>500</v>
      </c>
      <c r="H1" s="5" t="s">
        <v>501</v>
      </c>
      <c r="I1" s="5" t="s">
        <v>15</v>
      </c>
      <c r="J1" s="5" t="s">
        <v>502</v>
      </c>
      <c r="K1" s="5" t="s">
        <v>24</v>
      </c>
      <c r="L1" s="5" t="s">
        <v>0</v>
      </c>
      <c r="M1" s="5" t="s">
        <v>25</v>
      </c>
      <c r="N1" s="52"/>
      <c r="O1" s="52"/>
      <c r="P1" s="52"/>
      <c r="Q1" s="52"/>
      <c r="R1" s="102"/>
      <c r="S1" s="102"/>
      <c r="T1" s="102"/>
      <c r="U1" s="208"/>
      <c r="V1" s="1"/>
      <c r="W1" s="1"/>
      <c r="X1" s="1"/>
      <c r="Y1" s="1"/>
      <c r="Z1" s="1"/>
    </row>
    <row r="2" spans="1:26">
      <c r="A2" s="6" t="s">
        <v>484</v>
      </c>
      <c r="B2" s="7">
        <v>175</v>
      </c>
      <c r="C2" s="65"/>
      <c r="D2" s="65"/>
      <c r="E2" s="66"/>
      <c r="F2" s="66"/>
      <c r="G2" s="66"/>
      <c r="H2" s="48"/>
      <c r="I2" s="48"/>
      <c r="J2" s="65"/>
      <c r="K2" s="7"/>
      <c r="L2" s="12">
        <f>K2*B2+(50*H2+5*I2)</f>
        <v>0</v>
      </c>
      <c r="M2" s="13">
        <f>3*K2</f>
        <v>0</v>
      </c>
      <c r="N2" s="108"/>
      <c r="O2" s="108"/>
      <c r="P2" s="60"/>
      <c r="Q2" s="60"/>
      <c r="R2" s="102"/>
      <c r="S2" s="102"/>
      <c r="T2" s="102"/>
      <c r="U2" s="60"/>
      <c r="V2" s="1"/>
      <c r="W2" s="1"/>
      <c r="X2" s="1"/>
      <c r="Y2" s="1"/>
      <c r="Z2" s="1"/>
    </row>
    <row r="3" spans="1:26">
      <c r="A3" s="6" t="s">
        <v>485</v>
      </c>
      <c r="B3" s="7">
        <v>50</v>
      </c>
      <c r="C3" s="220"/>
      <c r="D3" s="220"/>
      <c r="E3" s="220"/>
      <c r="F3" s="220"/>
      <c r="G3" s="37"/>
      <c r="H3" s="220"/>
      <c r="I3" s="220"/>
      <c r="J3" s="220"/>
      <c r="K3" s="7"/>
      <c r="L3" s="12">
        <f>K3*B3+(10*G3)</f>
        <v>0</v>
      </c>
      <c r="M3" s="13">
        <f t="shared" ref="M3:M5" si="0">3*K3</f>
        <v>0</v>
      </c>
      <c r="N3" s="44"/>
      <c r="O3" s="44"/>
      <c r="P3" s="44"/>
      <c r="Q3" s="44"/>
      <c r="R3" s="102"/>
      <c r="S3" s="102"/>
      <c r="T3" s="102"/>
      <c r="U3" s="29"/>
      <c r="V3" s="1"/>
      <c r="W3" s="1"/>
      <c r="X3" s="1"/>
      <c r="Y3" s="1"/>
      <c r="Z3" s="1"/>
    </row>
    <row r="4" spans="1:26">
      <c r="A4" s="6" t="s">
        <v>486</v>
      </c>
      <c r="B4" s="7">
        <v>50</v>
      </c>
      <c r="C4" s="65"/>
      <c r="D4" s="65"/>
      <c r="E4" s="66"/>
      <c r="F4" s="66"/>
      <c r="G4" s="37"/>
      <c r="H4" s="65"/>
      <c r="I4" s="65"/>
      <c r="J4" s="65"/>
      <c r="K4" s="12"/>
      <c r="L4" s="12">
        <f>K4*B4+(10*G4)</f>
        <v>0</v>
      </c>
      <c r="M4" s="13">
        <f t="shared" si="0"/>
        <v>0</v>
      </c>
      <c r="N4" s="108"/>
      <c r="O4" s="108"/>
      <c r="P4" s="60"/>
      <c r="Q4" s="60"/>
      <c r="R4" s="102"/>
      <c r="S4" s="102"/>
      <c r="T4" s="102"/>
      <c r="U4" s="209"/>
      <c r="V4" s="1"/>
      <c r="W4" s="1"/>
      <c r="X4" s="1"/>
      <c r="Y4" s="1"/>
      <c r="Z4" s="1"/>
    </row>
    <row r="5" spans="1:26">
      <c r="A5" s="6" t="s">
        <v>487</v>
      </c>
      <c r="B5" s="7">
        <v>175</v>
      </c>
      <c r="C5" s="220"/>
      <c r="D5" s="220"/>
      <c r="E5" s="220"/>
      <c r="F5" s="220"/>
      <c r="G5" s="220"/>
      <c r="H5" s="220"/>
      <c r="I5" s="220"/>
      <c r="J5" s="220"/>
      <c r="K5" s="12"/>
      <c r="L5" s="12">
        <f>K5*B5</f>
        <v>0</v>
      </c>
      <c r="M5" s="13">
        <f t="shared" si="0"/>
        <v>0</v>
      </c>
      <c r="N5" s="44"/>
      <c r="O5" s="44"/>
      <c r="P5" s="44"/>
      <c r="Q5" s="44"/>
      <c r="R5" s="102"/>
      <c r="S5" s="102"/>
      <c r="T5" s="102"/>
      <c r="U5" s="29"/>
      <c r="V5" s="1"/>
      <c r="W5" s="1"/>
      <c r="X5" s="1"/>
      <c r="Y5" s="1"/>
      <c r="Z5" s="1"/>
    </row>
    <row r="6" spans="1:26">
      <c r="A6" s="6" t="s">
        <v>488</v>
      </c>
      <c r="B6" s="7">
        <v>45</v>
      </c>
      <c r="C6" s="48"/>
      <c r="D6" s="48"/>
      <c r="E6" s="66"/>
      <c r="F6" s="66"/>
      <c r="G6" s="37"/>
      <c r="H6" s="65"/>
      <c r="I6" s="65"/>
      <c r="J6" s="65"/>
      <c r="K6" s="12"/>
      <c r="L6" s="12">
        <f>K6*B6+(5*C6+5*D6+10*G6)</f>
        <v>0</v>
      </c>
      <c r="M6" s="13">
        <f>2*K6</f>
        <v>0</v>
      </c>
      <c r="N6" s="108"/>
      <c r="O6" s="108"/>
      <c r="P6" s="60"/>
      <c r="Q6" s="60"/>
      <c r="R6" s="102"/>
      <c r="S6" s="102"/>
      <c r="T6" s="102"/>
      <c r="U6" s="209"/>
      <c r="V6" s="1"/>
      <c r="W6" s="1"/>
      <c r="X6" s="1"/>
      <c r="Y6" s="1"/>
      <c r="Z6" s="1"/>
    </row>
    <row r="7" spans="1:26">
      <c r="A7" s="6" t="s">
        <v>489</v>
      </c>
      <c r="B7" s="7">
        <v>150</v>
      </c>
      <c r="C7" s="220"/>
      <c r="D7" s="220"/>
      <c r="E7" s="220"/>
      <c r="F7" s="220"/>
      <c r="G7" s="220"/>
      <c r="H7" s="220"/>
      <c r="I7" s="220"/>
      <c r="J7" s="37"/>
      <c r="K7" s="18"/>
      <c r="L7" s="12">
        <f>K7*B7+(15*J7)</f>
        <v>0</v>
      </c>
      <c r="M7" s="13">
        <f>3*K7</f>
        <v>0</v>
      </c>
      <c r="N7" s="44"/>
      <c r="O7" s="44"/>
      <c r="P7" s="44"/>
      <c r="Q7" s="44"/>
      <c r="R7" s="102"/>
      <c r="S7" s="102"/>
      <c r="T7" s="102"/>
      <c r="U7" s="29"/>
      <c r="V7" s="1"/>
      <c r="W7" s="1"/>
      <c r="X7" s="1"/>
      <c r="Y7" s="1"/>
      <c r="Z7" s="1"/>
    </row>
    <row r="8" spans="1:26">
      <c r="A8" s="6" t="s">
        <v>490</v>
      </c>
      <c r="B8" s="7">
        <v>110</v>
      </c>
      <c r="C8" s="65"/>
      <c r="D8" s="65"/>
      <c r="E8" s="66"/>
      <c r="F8" s="66"/>
      <c r="G8" s="66"/>
      <c r="H8" s="65"/>
      <c r="I8" s="65"/>
      <c r="J8" s="65"/>
      <c r="K8" s="12"/>
      <c r="L8" s="12">
        <f>K8*B8</f>
        <v>0</v>
      </c>
      <c r="M8" s="13">
        <f>1*K8</f>
        <v>0</v>
      </c>
      <c r="N8" s="108"/>
      <c r="O8" s="108"/>
      <c r="P8" s="60"/>
      <c r="Q8" s="60"/>
      <c r="R8" s="102"/>
      <c r="S8" s="102"/>
      <c r="T8" s="102"/>
      <c r="U8" s="209"/>
      <c r="V8" s="1"/>
      <c r="W8" s="1"/>
      <c r="X8" s="1"/>
      <c r="Y8" s="1"/>
      <c r="Z8" s="1"/>
    </row>
    <row r="9" spans="1:26">
      <c r="A9" s="6" t="s">
        <v>491</v>
      </c>
      <c r="B9" s="7">
        <v>130</v>
      </c>
      <c r="C9" s="220"/>
      <c r="D9" s="220"/>
      <c r="E9" s="220"/>
      <c r="F9" s="220"/>
      <c r="G9" s="220"/>
      <c r="H9" s="220"/>
      <c r="I9" s="220"/>
      <c r="J9" s="220"/>
      <c r="K9" s="12"/>
      <c r="L9" s="12">
        <f t="shared" ref="L9:L12" si="1">K9*B9</f>
        <v>0</v>
      </c>
      <c r="M9" s="13">
        <f>2*K9</f>
        <v>0</v>
      </c>
      <c r="N9" s="44"/>
      <c r="O9" s="44"/>
      <c r="P9" s="44"/>
      <c r="Q9" s="44"/>
      <c r="R9" s="102"/>
      <c r="S9" s="102"/>
      <c r="T9" s="102"/>
      <c r="U9" s="29"/>
      <c r="V9" s="1"/>
      <c r="W9" s="1"/>
      <c r="X9" s="1"/>
      <c r="Y9" s="1"/>
      <c r="Z9" s="1"/>
    </row>
    <row r="10" spans="1:26">
      <c r="A10" s="6" t="s">
        <v>492</v>
      </c>
      <c r="B10" s="19">
        <v>120</v>
      </c>
      <c r="C10" s="65"/>
      <c r="D10" s="65"/>
      <c r="E10" s="66"/>
      <c r="F10" s="66"/>
      <c r="G10" s="66"/>
      <c r="H10" s="65"/>
      <c r="I10" s="65"/>
      <c r="J10" s="65"/>
      <c r="K10" s="18"/>
      <c r="L10" s="12">
        <f t="shared" si="1"/>
        <v>0</v>
      </c>
      <c r="M10" s="13">
        <f>3*K10</f>
        <v>0</v>
      </c>
      <c r="N10" s="108"/>
      <c r="O10" s="108"/>
      <c r="P10" s="60"/>
      <c r="Q10" s="60"/>
      <c r="R10" s="102"/>
      <c r="S10" s="102"/>
      <c r="T10" s="102"/>
      <c r="U10" s="209"/>
      <c r="V10" s="1"/>
      <c r="W10" s="1"/>
      <c r="X10" s="1"/>
      <c r="Y10" s="1"/>
      <c r="Z10" s="1"/>
    </row>
    <row r="11" spans="1:26">
      <c r="A11" s="6" t="s">
        <v>493</v>
      </c>
      <c r="B11" s="19">
        <v>40</v>
      </c>
      <c r="C11" s="220"/>
      <c r="D11" s="220"/>
      <c r="E11" s="220"/>
      <c r="F11" s="220"/>
      <c r="G11" s="220"/>
      <c r="H11" s="220"/>
      <c r="I11" s="220"/>
      <c r="J11" s="220"/>
      <c r="K11" s="18"/>
      <c r="L11" s="12">
        <f t="shared" si="1"/>
        <v>0</v>
      </c>
      <c r="M11" s="13">
        <f>3*K11</f>
        <v>0</v>
      </c>
      <c r="N11" s="44"/>
      <c r="O11" s="44"/>
      <c r="P11" s="44"/>
      <c r="Q11" s="44"/>
      <c r="R11" s="102"/>
      <c r="S11" s="102"/>
      <c r="T11" s="102"/>
      <c r="U11" s="29"/>
      <c r="V11" s="1"/>
      <c r="W11" s="1"/>
      <c r="X11" s="1"/>
      <c r="Y11" s="1"/>
      <c r="Z11" s="1"/>
    </row>
    <row r="12" spans="1:26">
      <c r="A12" s="6" t="s">
        <v>494</v>
      </c>
      <c r="B12" s="19">
        <v>50</v>
      </c>
      <c r="C12" s="65"/>
      <c r="D12" s="65"/>
      <c r="E12" s="66"/>
      <c r="F12" s="66"/>
      <c r="G12" s="66"/>
      <c r="H12" s="65"/>
      <c r="I12" s="65"/>
      <c r="J12" s="65"/>
      <c r="K12" s="18"/>
      <c r="L12" s="12">
        <f t="shared" si="1"/>
        <v>0</v>
      </c>
      <c r="M12" s="13">
        <f>0*K12</f>
        <v>0</v>
      </c>
      <c r="N12" s="108"/>
      <c r="O12" s="108"/>
      <c r="P12" s="60"/>
      <c r="Q12" s="60"/>
      <c r="R12" s="102"/>
      <c r="S12" s="102"/>
      <c r="T12" s="102"/>
      <c r="U12" s="209"/>
      <c r="V12" s="1"/>
      <c r="W12" s="1"/>
      <c r="X12" s="1"/>
      <c r="Y12" s="1"/>
      <c r="Z12" s="1"/>
    </row>
    <row r="13" spans="1:26">
      <c r="A13" s="6" t="s">
        <v>495</v>
      </c>
      <c r="B13" s="7">
        <v>35</v>
      </c>
      <c r="C13" s="37"/>
      <c r="D13" s="220"/>
      <c r="E13" s="220"/>
      <c r="F13" s="220"/>
      <c r="G13" s="220"/>
      <c r="H13" s="220"/>
      <c r="I13" s="220"/>
      <c r="J13" s="220"/>
      <c r="K13" s="12"/>
      <c r="L13" s="12">
        <f>K13*B13+(5*C13)</f>
        <v>0</v>
      </c>
      <c r="M13" s="13">
        <f>2*K13</f>
        <v>0</v>
      </c>
      <c r="N13" s="44"/>
      <c r="O13" s="44"/>
      <c r="P13" s="44"/>
      <c r="Q13" s="44"/>
      <c r="R13" s="102"/>
      <c r="S13" s="102"/>
      <c r="T13" s="102"/>
      <c r="U13" s="29"/>
      <c r="V13" s="1"/>
      <c r="W13" s="1"/>
      <c r="X13" s="1"/>
      <c r="Y13" s="1"/>
      <c r="Z13" s="1"/>
    </row>
    <row r="14" spans="1:26">
      <c r="A14" s="6" t="s">
        <v>255</v>
      </c>
      <c r="B14" s="19">
        <v>35</v>
      </c>
      <c r="C14" s="65"/>
      <c r="D14" s="65"/>
      <c r="E14" s="66"/>
      <c r="F14" s="66"/>
      <c r="G14" s="66"/>
      <c r="H14" s="65"/>
      <c r="I14" s="65"/>
      <c r="J14" s="65"/>
      <c r="K14" s="18"/>
      <c r="L14" s="12">
        <f>K14*B14</f>
        <v>0</v>
      </c>
      <c r="M14" s="13">
        <f>1*K14</f>
        <v>0</v>
      </c>
      <c r="N14" s="108"/>
      <c r="O14" s="108"/>
      <c r="P14" s="60"/>
      <c r="Q14" s="60"/>
      <c r="R14" s="102"/>
      <c r="S14" s="102"/>
      <c r="T14" s="102"/>
      <c r="U14" s="209"/>
      <c r="V14" s="1"/>
      <c r="W14" s="1"/>
      <c r="X14" s="1"/>
      <c r="Y14" s="1"/>
      <c r="Z14" s="1"/>
    </row>
    <row r="15" spans="1:26">
      <c r="A15" s="6" t="s">
        <v>496</v>
      </c>
      <c r="B15" s="19">
        <v>4</v>
      </c>
      <c r="C15" s="37"/>
      <c r="D15" s="220"/>
      <c r="E15" s="220"/>
      <c r="F15" s="220"/>
      <c r="G15" s="220"/>
      <c r="H15" s="220"/>
      <c r="I15" s="220"/>
      <c r="J15" s="220"/>
      <c r="K15" s="18"/>
      <c r="L15" s="12">
        <f>K15*B15+(1*C15)</f>
        <v>0</v>
      </c>
      <c r="M15" s="22"/>
      <c r="N15" s="44"/>
      <c r="O15" s="44"/>
      <c r="P15" s="44"/>
      <c r="Q15" s="44"/>
      <c r="R15" s="102"/>
      <c r="S15" s="102"/>
      <c r="T15" s="102"/>
      <c r="U15" s="29"/>
      <c r="V15" s="1"/>
      <c r="W15" s="1"/>
      <c r="X15" s="1"/>
      <c r="Y15" s="1"/>
      <c r="Z15" s="1"/>
    </row>
    <row r="16" spans="1:26">
      <c r="A16" s="6" t="s">
        <v>497</v>
      </c>
      <c r="B16" s="7">
        <v>9</v>
      </c>
      <c r="C16" s="65"/>
      <c r="D16" s="65"/>
      <c r="E16" s="66"/>
      <c r="F16" s="66"/>
      <c r="G16" s="66"/>
      <c r="H16" s="65"/>
      <c r="I16" s="65"/>
      <c r="J16" s="65"/>
      <c r="K16" s="12"/>
      <c r="L16" s="12">
        <f>K16*B16</f>
        <v>0</v>
      </c>
      <c r="M16" s="22"/>
      <c r="N16" s="108"/>
      <c r="O16" s="108"/>
      <c r="P16" s="60"/>
      <c r="Q16" s="60"/>
      <c r="R16" s="102"/>
      <c r="S16" s="102"/>
      <c r="T16" s="102"/>
      <c r="U16" s="29"/>
      <c r="V16" s="1"/>
      <c r="W16" s="1"/>
      <c r="X16" s="1"/>
      <c r="Y16" s="1"/>
      <c r="Z16" s="1"/>
    </row>
    <row r="17" spans="1:26">
      <c r="A17" s="6" t="s">
        <v>498</v>
      </c>
      <c r="B17" s="19">
        <v>8</v>
      </c>
      <c r="C17" s="37"/>
      <c r="D17" s="37"/>
      <c r="E17" s="37"/>
      <c r="F17" s="37"/>
      <c r="G17" s="37"/>
      <c r="H17" s="220"/>
      <c r="I17" s="220"/>
      <c r="J17" s="220"/>
      <c r="K17" s="18"/>
      <c r="L17" s="12">
        <f>K17*B17+(1*C17+1*D17+30*E17+25*F17+8*G17)</f>
        <v>0</v>
      </c>
      <c r="M17" s="22"/>
      <c r="N17" s="44"/>
      <c r="O17" s="44"/>
      <c r="P17" s="44"/>
      <c r="Q17" s="44"/>
      <c r="R17" s="102"/>
      <c r="S17" s="102"/>
      <c r="T17" s="102"/>
      <c r="U17" s="209"/>
      <c r="V17" s="1"/>
      <c r="W17" s="1"/>
      <c r="X17" s="1"/>
      <c r="Y17" s="1"/>
      <c r="Z17" s="1"/>
    </row>
    <row r="18" spans="1:26">
      <c r="A18" s="3"/>
      <c r="B18" s="35"/>
      <c r="C18" s="60"/>
      <c r="D18" s="60"/>
      <c r="E18" s="44"/>
      <c r="F18" s="44"/>
      <c r="G18" s="44"/>
      <c r="H18" s="60"/>
      <c r="I18" s="60"/>
      <c r="J18" s="60"/>
      <c r="K18" s="1"/>
      <c r="L18" s="1"/>
      <c r="M18" s="1"/>
      <c r="N18" s="108"/>
      <c r="O18" s="108"/>
      <c r="P18" s="60"/>
      <c r="Q18" s="60"/>
      <c r="R18" s="102"/>
      <c r="S18" s="102"/>
      <c r="T18" s="102"/>
      <c r="U18" s="29"/>
      <c r="V18" s="1"/>
      <c r="W18" s="1"/>
      <c r="X18" s="1"/>
      <c r="Y18" s="1"/>
      <c r="Z18" s="1"/>
    </row>
    <row r="19" spans="1:26" ht="15.75" thickBot="1">
      <c r="A19" s="3"/>
      <c r="B19" s="35"/>
      <c r="C19" s="44"/>
      <c r="D19" s="44"/>
      <c r="E19" s="44"/>
      <c r="F19" s="44"/>
      <c r="G19" s="44"/>
      <c r="H19" s="44"/>
      <c r="I19" s="44"/>
      <c r="J19" s="44"/>
      <c r="K19" s="27" t="s">
        <v>46</v>
      </c>
      <c r="L19" s="30" t="s">
        <v>47</v>
      </c>
      <c r="M19" s="22" t="s">
        <v>46</v>
      </c>
      <c r="N19" s="44"/>
      <c r="O19" s="44"/>
      <c r="P19" s="44"/>
      <c r="Q19" s="44"/>
      <c r="R19" s="102"/>
      <c r="S19" s="102"/>
      <c r="T19" s="102"/>
      <c r="U19" s="29"/>
      <c r="V19" s="1"/>
      <c r="W19" s="1"/>
      <c r="X19" s="1"/>
      <c r="Y19" s="1"/>
      <c r="Z19" s="1"/>
    </row>
    <row r="20" spans="1:26" ht="15.75" thickBot="1">
      <c r="A20" s="3"/>
      <c r="B20" s="35"/>
      <c r="C20" s="60"/>
      <c r="D20" s="60"/>
      <c r="E20" s="44"/>
      <c r="F20" s="44"/>
      <c r="G20" s="44"/>
      <c r="H20" s="60"/>
      <c r="I20" s="60"/>
      <c r="J20" s="60"/>
      <c r="K20" s="31">
        <f>SUM(K2:K17)</f>
        <v>0</v>
      </c>
      <c r="L20" s="32">
        <f>SUM(L2:L17)</f>
        <v>0</v>
      </c>
      <c r="M20" s="221">
        <f>SUM(M2:M14)</f>
        <v>0</v>
      </c>
      <c r="N20" s="108"/>
      <c r="O20" s="108"/>
      <c r="P20" s="60"/>
      <c r="Q20" s="60"/>
      <c r="R20" s="102"/>
      <c r="S20" s="102"/>
      <c r="T20" s="102"/>
      <c r="U20" s="209"/>
      <c r="V20" s="1"/>
      <c r="W20" s="1"/>
      <c r="X20" s="1"/>
      <c r="Y20" s="1"/>
      <c r="Z20" s="1"/>
    </row>
    <row r="21" spans="1:26">
      <c r="A21" s="3"/>
      <c r="B21" s="35"/>
      <c r="C21" s="44"/>
      <c r="D21" s="44"/>
      <c r="E21" s="44"/>
      <c r="F21" s="44"/>
      <c r="G21" s="44"/>
      <c r="H21" s="44"/>
      <c r="I21" s="44"/>
      <c r="J21" s="44"/>
      <c r="K21" s="12"/>
      <c r="L21" s="27"/>
      <c r="M21" s="1"/>
      <c r="N21" s="44"/>
      <c r="O21" s="44"/>
      <c r="P21" s="44"/>
      <c r="Q21" s="44"/>
      <c r="R21" s="102"/>
      <c r="S21" s="102"/>
      <c r="T21" s="102"/>
      <c r="U21" s="29"/>
      <c r="V21" s="1"/>
      <c r="W21" s="1"/>
      <c r="X21" s="1"/>
      <c r="Y21" s="1"/>
      <c r="Z21" s="1"/>
    </row>
    <row r="22" spans="1:26">
      <c r="A22" s="3"/>
      <c r="B22" s="35"/>
      <c r="C22" s="60"/>
      <c r="D22" s="60"/>
      <c r="E22" s="44"/>
      <c r="F22" s="44"/>
      <c r="G22" s="44"/>
      <c r="H22" s="60"/>
      <c r="I22" s="60"/>
      <c r="J22" s="60"/>
      <c r="K22" s="27" t="s">
        <v>1</v>
      </c>
      <c r="L22" s="27"/>
      <c r="M22" s="1"/>
      <c r="N22" s="108"/>
      <c r="O22" s="108"/>
      <c r="P22" s="60"/>
      <c r="Q22" s="60"/>
      <c r="R22" s="102"/>
      <c r="S22" s="102"/>
      <c r="T22" s="102"/>
      <c r="U22" s="29"/>
      <c r="V22" s="1"/>
      <c r="W22" s="1"/>
      <c r="X22" s="1"/>
      <c r="Y22" s="1"/>
      <c r="Z22" s="1"/>
    </row>
    <row r="23" spans="1:26">
      <c r="A23" s="3"/>
      <c r="B23" s="35"/>
      <c r="C23" s="44"/>
      <c r="D23" s="44"/>
      <c r="E23" s="44"/>
      <c r="F23" s="44"/>
      <c r="G23" s="44"/>
      <c r="H23" s="44"/>
      <c r="I23" s="44"/>
      <c r="J23" s="44"/>
      <c r="K23" s="37">
        <f>ROUNDUP(K20/3,0)</f>
        <v>0</v>
      </c>
      <c r="L23" s="35"/>
      <c r="M23" s="1"/>
      <c r="N23" s="44"/>
      <c r="O23" s="44"/>
      <c r="P23" s="44"/>
      <c r="Q23" s="44"/>
      <c r="R23" s="102"/>
      <c r="S23" s="102"/>
      <c r="T23" s="102"/>
      <c r="U23" s="209"/>
      <c r="V23" s="1"/>
      <c r="W23" s="1"/>
      <c r="X23" s="1"/>
      <c r="Y23" s="1"/>
      <c r="Z23" s="1"/>
    </row>
    <row r="24" spans="1:26">
      <c r="A24" s="3"/>
      <c r="B24" s="35"/>
      <c r="C24" s="60"/>
      <c r="D24" s="60"/>
      <c r="E24" s="44"/>
      <c r="F24" s="44"/>
      <c r="G24" s="44"/>
      <c r="H24" s="60"/>
      <c r="I24" s="60"/>
      <c r="J24" s="60"/>
      <c r="K24" s="44"/>
      <c r="L24" s="35"/>
      <c r="M24" s="155"/>
      <c r="N24" s="108"/>
      <c r="O24" s="108"/>
      <c r="P24" s="60"/>
      <c r="Q24" s="60"/>
      <c r="R24" s="102"/>
      <c r="S24" s="102"/>
      <c r="T24" s="102"/>
      <c r="U24" s="29"/>
      <c r="V24" s="1"/>
      <c r="W24" s="1"/>
      <c r="X24" s="1"/>
      <c r="Y24" s="1"/>
      <c r="Z24" s="1"/>
    </row>
    <row r="25" spans="1:26">
      <c r="A25" s="3"/>
      <c r="B25" s="35"/>
      <c r="C25" s="44"/>
      <c r="D25" s="44"/>
      <c r="E25" s="44"/>
      <c r="F25" s="44"/>
      <c r="G25" s="44"/>
      <c r="H25" s="44"/>
      <c r="I25" s="44"/>
      <c r="J25" s="44"/>
      <c r="K25" s="44"/>
      <c r="L25" s="35"/>
      <c r="M25" s="155"/>
      <c r="N25" s="44"/>
      <c r="O25" s="44"/>
      <c r="P25" s="44"/>
      <c r="Q25" s="44"/>
      <c r="R25" s="102"/>
      <c r="S25" s="102"/>
      <c r="T25" s="102"/>
      <c r="U25" s="209"/>
      <c r="V25" s="1"/>
      <c r="W25" s="1"/>
      <c r="X25" s="1"/>
      <c r="Y25" s="1"/>
      <c r="Z25" s="1"/>
    </row>
    <row r="26" spans="1:26">
      <c r="A26" s="3"/>
      <c r="B26" s="35"/>
      <c r="C26" s="60"/>
      <c r="D26" s="60"/>
      <c r="E26" s="44"/>
      <c r="F26" s="44"/>
      <c r="G26" s="44"/>
      <c r="H26" s="60"/>
      <c r="I26" s="60"/>
      <c r="J26" s="60"/>
      <c r="K26" s="44"/>
      <c r="L26" s="35"/>
      <c r="M26" s="155"/>
      <c r="N26" s="108"/>
      <c r="O26" s="108"/>
      <c r="P26" s="60"/>
      <c r="Q26" s="60"/>
      <c r="R26" s="102"/>
      <c r="S26" s="102"/>
      <c r="T26" s="102"/>
      <c r="U26" s="29"/>
      <c r="V26" s="1"/>
      <c r="W26" s="1"/>
      <c r="X26" s="1"/>
      <c r="Y26" s="1"/>
      <c r="Z26" s="1"/>
    </row>
    <row r="27" spans="1:26">
      <c r="A27" s="3"/>
      <c r="B27" s="35"/>
      <c r="C27" s="44"/>
      <c r="D27" s="44"/>
      <c r="E27" s="44"/>
      <c r="F27" s="44"/>
      <c r="G27" s="44"/>
      <c r="H27" s="44"/>
      <c r="I27" s="44"/>
      <c r="J27" s="44"/>
      <c r="K27" s="35"/>
      <c r="L27" s="35"/>
      <c r="M27" s="155"/>
      <c r="N27" s="44"/>
      <c r="O27" s="44"/>
      <c r="P27" s="44"/>
      <c r="Q27" s="44"/>
      <c r="R27" s="102"/>
      <c r="S27" s="102"/>
      <c r="T27" s="102"/>
      <c r="U27" s="29"/>
      <c r="V27" s="1"/>
      <c r="W27" s="1"/>
      <c r="X27" s="1"/>
      <c r="Y27" s="1"/>
      <c r="Z27" s="1"/>
    </row>
    <row r="28" spans="1:26">
      <c r="A28" s="3"/>
      <c r="B28" s="35"/>
      <c r="C28" s="60"/>
      <c r="D28" s="60"/>
      <c r="E28" s="44"/>
      <c r="F28" s="44"/>
      <c r="G28" s="44"/>
      <c r="H28" s="60"/>
      <c r="I28" s="60"/>
      <c r="J28" s="60"/>
      <c r="K28" s="44"/>
      <c r="L28" s="35"/>
      <c r="M28" s="155"/>
      <c r="N28" s="108"/>
      <c r="O28" s="108"/>
      <c r="P28" s="60"/>
      <c r="Q28" s="60"/>
      <c r="R28" s="102"/>
      <c r="S28" s="102"/>
      <c r="T28" s="102"/>
      <c r="U28" s="209"/>
      <c r="V28" s="1"/>
      <c r="W28" s="1"/>
      <c r="X28" s="1"/>
      <c r="Y28" s="1"/>
      <c r="Z28" s="1"/>
    </row>
    <row r="29" spans="1:26">
      <c r="A29" s="3"/>
      <c r="B29" s="35"/>
      <c r="C29" s="44"/>
      <c r="D29" s="44"/>
      <c r="E29" s="44"/>
      <c r="F29" s="44"/>
      <c r="G29" s="44"/>
      <c r="H29" s="44"/>
      <c r="I29" s="44"/>
      <c r="J29" s="44"/>
      <c r="K29" s="44"/>
      <c r="L29" s="35"/>
      <c r="M29" s="155"/>
      <c r="N29" s="44"/>
      <c r="O29" s="44"/>
      <c r="P29" s="44"/>
      <c r="Q29" s="44"/>
      <c r="R29" s="102"/>
      <c r="S29" s="102"/>
      <c r="T29" s="102"/>
      <c r="U29" s="29"/>
      <c r="V29" s="1"/>
      <c r="W29" s="1"/>
      <c r="X29" s="1"/>
      <c r="Y29" s="1"/>
      <c r="Z29" s="1"/>
    </row>
    <row r="30" spans="1:26">
      <c r="A30" s="3"/>
      <c r="B30" s="35"/>
      <c r="C30" s="60"/>
      <c r="D30" s="60"/>
      <c r="E30" s="44"/>
      <c r="F30" s="44"/>
      <c r="G30" s="44"/>
      <c r="H30" s="60"/>
      <c r="I30" s="60"/>
      <c r="J30" s="60"/>
      <c r="K30" s="35"/>
      <c r="L30" s="35"/>
      <c r="M30" s="155"/>
      <c r="N30" s="108"/>
      <c r="O30" s="108"/>
      <c r="P30" s="60"/>
      <c r="Q30" s="60"/>
      <c r="R30" s="102"/>
      <c r="S30" s="102"/>
      <c r="T30" s="102"/>
      <c r="U30" s="29"/>
      <c r="V30" s="1"/>
      <c r="W30" s="1"/>
      <c r="X30" s="1"/>
      <c r="Y30" s="1"/>
      <c r="Z30" s="1"/>
    </row>
    <row r="31" spans="1:26">
      <c r="A31" s="3"/>
      <c r="B31" s="35"/>
      <c r="C31" s="44"/>
      <c r="D31" s="44"/>
      <c r="E31" s="44"/>
      <c r="F31" s="44"/>
      <c r="G31" s="44"/>
      <c r="H31" s="44"/>
      <c r="I31" s="44"/>
      <c r="J31" s="44"/>
      <c r="K31" s="44"/>
      <c r="L31" s="35"/>
      <c r="M31" s="155"/>
      <c r="N31" s="44"/>
      <c r="O31" s="44"/>
      <c r="P31" s="44"/>
      <c r="Q31" s="44"/>
      <c r="R31" s="102"/>
      <c r="S31" s="102"/>
      <c r="T31" s="102"/>
      <c r="U31" s="209"/>
      <c r="V31" s="1"/>
      <c r="W31" s="1"/>
      <c r="X31" s="1"/>
      <c r="Y31" s="1"/>
      <c r="Z31" s="1"/>
    </row>
    <row r="32" spans="1:26">
      <c r="A32" s="3"/>
      <c r="B32" s="35"/>
      <c r="C32" s="29"/>
      <c r="D32" s="29"/>
      <c r="E32" s="29"/>
      <c r="F32" s="29"/>
      <c r="G32" s="29"/>
      <c r="H32" s="29"/>
      <c r="I32" s="29"/>
      <c r="J32" s="44"/>
      <c r="K32" s="1"/>
      <c r="L32" s="1"/>
      <c r="M32" s="1"/>
      <c r="N32" s="44"/>
      <c r="O32" s="44"/>
      <c r="P32" s="44"/>
      <c r="Q32" s="44"/>
      <c r="R32" s="102"/>
      <c r="S32" s="102"/>
      <c r="T32" s="102"/>
      <c r="U32" s="29"/>
      <c r="V32" s="1"/>
      <c r="W32" s="1"/>
      <c r="X32" s="1"/>
      <c r="Y32" s="1"/>
      <c r="Z32" s="1"/>
    </row>
    <row r="33" spans="1:26">
      <c r="A33" s="3"/>
      <c r="B33" s="35"/>
      <c r="C33" s="44"/>
      <c r="D33" s="44"/>
      <c r="E33" s="44"/>
      <c r="F33" s="44"/>
      <c r="G33" s="44"/>
      <c r="H33" s="44"/>
      <c r="I33" s="44"/>
      <c r="J33" s="44"/>
      <c r="K33" s="1"/>
      <c r="L33" s="1"/>
      <c r="M33" s="1"/>
      <c r="N33" s="44"/>
      <c r="O33" s="44"/>
      <c r="P33" s="44"/>
      <c r="Q33" s="44"/>
      <c r="R33" s="102"/>
      <c r="S33" s="102"/>
      <c r="T33" s="102"/>
      <c r="U33" s="60"/>
      <c r="V33" s="1"/>
      <c r="W33" s="1"/>
      <c r="X33" s="1"/>
      <c r="Y33" s="1"/>
      <c r="Z33" s="1"/>
    </row>
    <row r="34" spans="1:26">
      <c r="A34" s="3"/>
      <c r="B34" s="35"/>
      <c r="C34" s="44"/>
      <c r="D34" s="44"/>
      <c r="E34" s="44"/>
      <c r="F34" s="44"/>
      <c r="G34" s="44"/>
      <c r="H34" s="44"/>
      <c r="I34" s="44"/>
      <c r="J34" s="44"/>
      <c r="K34" s="1"/>
      <c r="L34" s="1"/>
      <c r="M34" s="1"/>
      <c r="N34" s="44"/>
      <c r="O34" s="44"/>
      <c r="P34" s="44"/>
      <c r="Q34" s="44"/>
      <c r="R34" s="102"/>
      <c r="S34" s="102"/>
      <c r="T34" s="102"/>
      <c r="U34" s="44"/>
      <c r="V34" s="1"/>
      <c r="W34" s="1"/>
      <c r="X34" s="1"/>
      <c r="Y34" s="1"/>
      <c r="Z34" s="1"/>
    </row>
    <row r="35" spans="1:26">
      <c r="A35" s="3"/>
      <c r="B35" s="35"/>
      <c r="C35" s="44"/>
      <c r="D35" s="44"/>
      <c r="E35" s="44"/>
      <c r="F35" s="44"/>
      <c r="G35" s="44"/>
      <c r="H35" s="44"/>
      <c r="I35" s="44"/>
      <c r="J35" s="44"/>
      <c r="K35" s="1"/>
      <c r="L35" s="1"/>
      <c r="M35" s="1"/>
      <c r="N35" s="44"/>
      <c r="O35" s="44"/>
      <c r="P35" s="44"/>
      <c r="Q35" s="44"/>
      <c r="R35" s="102"/>
      <c r="S35" s="102"/>
      <c r="T35" s="102"/>
      <c r="U35" s="44"/>
      <c r="V35" s="1"/>
      <c r="W35" s="1"/>
      <c r="X35" s="1"/>
      <c r="Y35" s="1"/>
      <c r="Z35" s="1"/>
    </row>
    <row r="36" spans="1:26">
      <c r="A36" s="3"/>
      <c r="B36" s="35"/>
      <c r="C36" s="44"/>
      <c r="D36" s="44"/>
      <c r="E36" s="44"/>
      <c r="F36" s="44"/>
      <c r="G36" s="44"/>
      <c r="H36" s="44"/>
      <c r="I36" s="44"/>
      <c r="J36" s="44"/>
      <c r="K36" s="1"/>
      <c r="L36" s="1"/>
      <c r="M36" s="1"/>
      <c r="N36" s="44"/>
      <c r="O36" s="44"/>
      <c r="P36" s="44"/>
      <c r="Q36" s="44"/>
      <c r="R36" s="102"/>
      <c r="S36" s="102"/>
      <c r="T36" s="102"/>
      <c r="U36" s="44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02"/>
      <c r="O37" s="102"/>
      <c r="P37" s="102"/>
      <c r="Q37" s="102"/>
      <c r="R37" s="102"/>
      <c r="S37" s="102"/>
      <c r="T37" s="102"/>
      <c r="U37" s="44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02"/>
      <c r="O38" s="102"/>
      <c r="P38" s="102"/>
      <c r="Q38" s="102"/>
      <c r="R38" s="102"/>
      <c r="S38" s="102"/>
      <c r="T38" s="102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02"/>
      <c r="O39" s="102"/>
      <c r="P39" s="102"/>
      <c r="Q39" s="102"/>
      <c r="R39" s="102"/>
      <c r="S39" s="102"/>
      <c r="T39" s="102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02"/>
      <c r="O40" s="102"/>
      <c r="P40" s="102"/>
      <c r="Q40" s="102"/>
      <c r="R40" s="102"/>
      <c r="S40" s="102"/>
      <c r="T40" s="102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02"/>
      <c r="O41" s="102"/>
      <c r="P41" s="102"/>
      <c r="Q41" s="102"/>
      <c r="R41" s="102"/>
      <c r="S41" s="102"/>
      <c r="T41" s="102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02"/>
      <c r="O42" s="102"/>
      <c r="P42" s="102"/>
      <c r="Q42" s="102"/>
      <c r="R42" s="102"/>
      <c r="S42" s="102"/>
      <c r="T42" s="102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02"/>
      <c r="O43" s="102"/>
      <c r="P43" s="102"/>
      <c r="Q43" s="102"/>
      <c r="R43" s="102"/>
      <c r="S43" s="102"/>
      <c r="T43" s="102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02"/>
      <c r="O44" s="102"/>
      <c r="P44" s="102"/>
      <c r="Q44" s="102"/>
      <c r="R44" s="102"/>
      <c r="S44" s="102"/>
      <c r="T44" s="102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02"/>
      <c r="O45" s="102"/>
      <c r="P45" s="102"/>
      <c r="Q45" s="102"/>
      <c r="R45" s="102"/>
      <c r="S45" s="102"/>
      <c r="T45" s="102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02"/>
      <c r="O46" s="102"/>
      <c r="P46" s="102"/>
      <c r="Q46" s="102"/>
      <c r="R46" s="102"/>
      <c r="S46" s="102"/>
      <c r="T46" s="102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02"/>
      <c r="O47" s="102"/>
      <c r="P47" s="102"/>
      <c r="Q47" s="102"/>
      <c r="R47" s="102"/>
      <c r="S47" s="102"/>
      <c r="T47" s="102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02"/>
      <c r="O48" s="102"/>
      <c r="P48" s="102"/>
      <c r="Q48" s="102"/>
      <c r="R48" s="102"/>
      <c r="S48" s="102"/>
      <c r="T48" s="102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02"/>
      <c r="O49" s="102"/>
      <c r="P49" s="102"/>
      <c r="Q49" s="102"/>
      <c r="R49" s="102"/>
      <c r="S49" s="102"/>
      <c r="T49" s="102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02"/>
      <c r="O50" s="102"/>
      <c r="P50" s="102"/>
      <c r="Q50" s="102"/>
      <c r="R50" s="102"/>
      <c r="S50" s="102"/>
      <c r="T50" s="102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02"/>
      <c r="O51" s="102"/>
      <c r="P51" s="102"/>
      <c r="Q51" s="102"/>
      <c r="R51" s="102"/>
      <c r="S51" s="102"/>
      <c r="T51" s="102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02"/>
      <c r="O52" s="102"/>
      <c r="P52" s="102"/>
      <c r="Q52" s="102"/>
      <c r="R52" s="102"/>
      <c r="S52" s="102"/>
      <c r="T52" s="102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02"/>
      <c r="O53" s="102"/>
      <c r="P53" s="102"/>
      <c r="Q53" s="102"/>
      <c r="R53" s="102"/>
      <c r="S53" s="102"/>
      <c r="T53" s="102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02"/>
      <c r="O54" s="102"/>
      <c r="P54" s="102"/>
      <c r="Q54" s="102"/>
      <c r="R54" s="102"/>
      <c r="S54" s="102"/>
      <c r="T54" s="102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02"/>
      <c r="O55" s="102"/>
      <c r="P55" s="102"/>
      <c r="Q55" s="102"/>
      <c r="R55" s="102"/>
      <c r="S55" s="102"/>
      <c r="T55" s="102"/>
      <c r="U55" s="1"/>
      <c r="V55" s="1"/>
      <c r="W55" s="1"/>
      <c r="X55" s="1"/>
      <c r="Y55" s="1"/>
      <c r="Z55" s="1"/>
    </row>
  </sheetData>
  <hyperlinks>
    <hyperlink ref="A1" location="'Huestes de la Oscuridad'!A1" display="Moria y Angmar: Angmar"/>
  </hyperlinks>
  <pageMargins left="0.7" right="0.7" top="0.75" bottom="0.75" header="0.3" footer="0.3"/>
  <ignoredErrors>
    <ignoredError sqref="L15 L13 M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S61"/>
  <sheetViews>
    <sheetView workbookViewId="0">
      <selection activeCell="B5" sqref="B5:C5"/>
    </sheetView>
  </sheetViews>
  <sheetFormatPr baseColWidth="10" defaultRowHeight="15"/>
  <cols>
    <col min="1" max="1" width="1.5703125" customWidth="1"/>
    <col min="14" max="14" width="1.5703125" customWidth="1"/>
  </cols>
  <sheetData>
    <row r="1" spans="1:19" ht="7.5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"/>
      <c r="P1" s="1"/>
      <c r="Q1" s="1"/>
      <c r="R1" s="1"/>
      <c r="S1" s="1"/>
    </row>
    <row r="2" spans="1:19">
      <c r="A2" s="189"/>
      <c r="B2" s="234" t="s">
        <v>450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189"/>
      <c r="O2" s="1"/>
      <c r="P2" s="1"/>
      <c r="Q2" s="1"/>
      <c r="R2" s="1"/>
      <c r="S2" s="1"/>
    </row>
    <row r="3" spans="1:19">
      <c r="A3" s="189"/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189"/>
      <c r="O3" s="1"/>
      <c r="P3" s="1"/>
      <c r="Q3" s="1"/>
      <c r="R3" s="1"/>
      <c r="S3" s="1"/>
    </row>
    <row r="4" spans="1:19">
      <c r="A4" s="189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189"/>
      <c r="O4" s="1"/>
      <c r="P4" s="1"/>
      <c r="Q4" s="1"/>
      <c r="R4" s="1"/>
      <c r="S4" s="1"/>
    </row>
    <row r="5" spans="1:19">
      <c r="A5" s="190"/>
      <c r="B5" s="233" t="s">
        <v>423</v>
      </c>
      <c r="C5" s="233"/>
      <c r="D5" s="2"/>
      <c r="E5" s="2"/>
      <c r="F5" s="2"/>
      <c r="G5" s="2"/>
      <c r="H5" s="2"/>
      <c r="I5" s="2"/>
      <c r="J5" s="2"/>
      <c r="K5" s="2"/>
      <c r="L5" s="2"/>
      <c r="M5" s="2"/>
      <c r="N5" s="190"/>
      <c r="O5" s="1"/>
      <c r="P5" s="1"/>
      <c r="Q5" s="1"/>
      <c r="R5" s="1"/>
      <c r="S5" s="1"/>
    </row>
    <row r="6" spans="1:19">
      <c r="A6" s="190"/>
      <c r="B6" s="2"/>
      <c r="C6" s="2"/>
      <c r="D6" s="2"/>
      <c r="E6" s="2"/>
      <c r="F6" s="184"/>
      <c r="G6" s="184"/>
      <c r="H6" s="184" t="s">
        <v>444</v>
      </c>
      <c r="I6" s="184"/>
      <c r="J6" s="184" t="s">
        <v>447</v>
      </c>
      <c r="K6" s="184"/>
      <c r="L6" s="184" t="s">
        <v>0</v>
      </c>
      <c r="M6" s="2"/>
      <c r="N6" s="190"/>
      <c r="O6" s="1"/>
      <c r="P6" s="1"/>
      <c r="Q6" s="1"/>
      <c r="R6" s="1"/>
      <c r="S6" s="1"/>
    </row>
    <row r="7" spans="1:19">
      <c r="A7" s="190"/>
      <c r="B7" s="2"/>
      <c r="C7" s="2"/>
      <c r="D7" s="2"/>
      <c r="E7" s="2"/>
      <c r="F7" s="184"/>
      <c r="G7" s="184"/>
      <c r="H7" s="184" t="s">
        <v>445</v>
      </c>
      <c r="I7" s="184"/>
      <c r="J7" s="184" t="s">
        <v>445</v>
      </c>
      <c r="K7" s="184"/>
      <c r="L7" s="184" t="s">
        <v>445</v>
      </c>
      <c r="M7" s="2"/>
      <c r="N7" s="190"/>
      <c r="O7" s="1"/>
      <c r="P7" s="1"/>
      <c r="Q7" s="1"/>
      <c r="R7" s="1"/>
      <c r="S7" s="1"/>
    </row>
    <row r="8" spans="1:19" ht="15.75" thickBot="1">
      <c r="A8" s="190"/>
      <c r="B8" s="2"/>
      <c r="C8" s="2"/>
      <c r="D8" s="2"/>
      <c r="E8" s="2"/>
      <c r="F8" s="184" t="s">
        <v>449</v>
      </c>
      <c r="G8" s="184"/>
      <c r="H8" s="184" t="s">
        <v>446</v>
      </c>
      <c r="I8" s="184"/>
      <c r="J8" s="184" t="s">
        <v>1</v>
      </c>
      <c r="K8" s="184"/>
      <c r="L8" s="184" t="s">
        <v>448</v>
      </c>
      <c r="M8" s="2"/>
      <c r="N8" s="190"/>
      <c r="O8" s="1"/>
      <c r="P8" s="1"/>
      <c r="Q8" s="1"/>
      <c r="R8" s="1"/>
      <c r="S8" s="1"/>
    </row>
    <row r="9" spans="1:19" ht="15.75" thickBot="1">
      <c r="A9" s="190"/>
      <c r="B9" s="202" t="s">
        <v>437</v>
      </c>
      <c r="C9" s="2"/>
      <c r="D9" s="2"/>
      <c r="E9" s="2"/>
      <c r="F9" s="188">
        <f>Mordor!AN54</f>
        <v>0</v>
      </c>
      <c r="G9" s="193"/>
      <c r="H9" s="188">
        <f>Mordor!AM54</f>
        <v>0</v>
      </c>
      <c r="I9" s="193"/>
      <c r="J9" s="188">
        <f>Mordor!AM57</f>
        <v>0</v>
      </c>
      <c r="K9" s="193"/>
      <c r="L9" s="188">
        <f>Mordor!AO54</f>
        <v>0</v>
      </c>
      <c r="M9" s="2"/>
      <c r="N9" s="190"/>
      <c r="O9" s="1"/>
      <c r="P9" s="1"/>
      <c r="Q9" s="1"/>
      <c r="R9" s="1"/>
      <c r="S9" s="1"/>
    </row>
    <row r="10" spans="1:19">
      <c r="A10" s="190"/>
      <c r="B10" s="2"/>
      <c r="C10" s="2"/>
      <c r="D10" s="2"/>
      <c r="E10" s="2"/>
      <c r="F10" s="193"/>
      <c r="G10" s="193"/>
      <c r="H10" s="193"/>
      <c r="I10" s="193"/>
      <c r="J10" s="193"/>
      <c r="K10" s="193"/>
      <c r="L10" s="193"/>
      <c r="M10" s="2"/>
      <c r="N10" s="190"/>
      <c r="O10" s="1"/>
      <c r="P10" s="1"/>
      <c r="Q10" s="1"/>
      <c r="R10" s="1"/>
      <c r="S10" s="1"/>
    </row>
    <row r="11" spans="1:19" ht="15.75" thickBot="1">
      <c r="A11" s="190"/>
      <c r="B11" s="1"/>
      <c r="C11" s="1"/>
      <c r="D11" s="1"/>
      <c r="E11" s="1"/>
      <c r="F11" s="194"/>
      <c r="G11" s="194"/>
      <c r="H11" s="194"/>
      <c r="I11" s="194"/>
      <c r="J11" s="194"/>
      <c r="K11" s="194"/>
      <c r="L11" s="194"/>
      <c r="M11" s="2"/>
      <c r="N11" s="190"/>
      <c r="O11" s="1"/>
      <c r="P11" s="1"/>
      <c r="Q11" s="1"/>
      <c r="R11" s="1"/>
      <c r="S11" s="1"/>
    </row>
    <row r="12" spans="1:19" ht="15.75" thickBot="1">
      <c r="A12" s="190"/>
      <c r="B12" s="203" t="s">
        <v>438</v>
      </c>
      <c r="C12" s="204"/>
      <c r="D12" s="2"/>
      <c r="E12" s="2"/>
      <c r="F12" s="188">
        <f>Isengard!V30</f>
        <v>0</v>
      </c>
      <c r="G12" s="193"/>
      <c r="H12" s="188">
        <f>Isengard!U30</f>
        <v>0</v>
      </c>
      <c r="I12" s="193"/>
      <c r="J12" s="188">
        <f>Isengard!U33</f>
        <v>0</v>
      </c>
      <c r="K12" s="193"/>
      <c r="L12" s="188">
        <f>Isengard!W30</f>
        <v>0</v>
      </c>
      <c r="M12" s="2"/>
      <c r="N12" s="190"/>
      <c r="O12" s="1"/>
      <c r="P12" s="1"/>
      <c r="Q12" s="1"/>
      <c r="R12" s="1"/>
      <c r="S12" s="1"/>
    </row>
    <row r="13" spans="1:19">
      <c r="A13" s="190"/>
      <c r="B13" s="179"/>
      <c r="C13" s="179"/>
      <c r="D13" s="1"/>
      <c r="E13" s="1"/>
      <c r="F13" s="194"/>
      <c r="G13" s="194"/>
      <c r="H13" s="194"/>
      <c r="I13" s="194"/>
      <c r="J13" s="194"/>
      <c r="K13" s="194"/>
      <c r="L13" s="194"/>
      <c r="M13" s="2"/>
      <c r="N13" s="190"/>
      <c r="O13" s="1"/>
      <c r="P13" s="1"/>
      <c r="Q13" s="1"/>
      <c r="R13" s="1"/>
      <c r="S13" s="1"/>
    </row>
    <row r="14" spans="1:19" ht="15.75" thickBot="1">
      <c r="A14" s="190"/>
      <c r="B14" s="179"/>
      <c r="C14" s="179"/>
      <c r="D14" s="1"/>
      <c r="E14" s="1"/>
      <c r="F14" s="194"/>
      <c r="G14" s="194"/>
      <c r="H14" s="194"/>
      <c r="I14" s="194"/>
      <c r="J14" s="194"/>
      <c r="K14" s="194"/>
      <c r="L14" s="194"/>
      <c r="M14" s="2"/>
      <c r="N14" s="190"/>
      <c r="O14" s="1"/>
      <c r="P14" s="1"/>
      <c r="Q14" s="1"/>
      <c r="R14" s="1"/>
      <c r="S14" s="1"/>
    </row>
    <row r="15" spans="1:19" ht="15.75" thickBot="1">
      <c r="A15" s="190"/>
      <c r="B15" s="203" t="s">
        <v>439</v>
      </c>
      <c r="C15" s="203"/>
      <c r="D15" s="2"/>
      <c r="E15" s="2"/>
      <c r="F15" s="188">
        <f>'Harad y Umbar'!AD31</f>
        <v>0</v>
      </c>
      <c r="G15" s="193"/>
      <c r="H15" s="188">
        <f>'Harad y Umbar'!AC31</f>
        <v>0</v>
      </c>
      <c r="I15" s="193"/>
      <c r="J15" s="188">
        <f>'Harad y Umbar'!AC34</f>
        <v>0</v>
      </c>
      <c r="K15" s="193"/>
      <c r="L15" s="188">
        <f>'Harad y Umbar'!AE31</f>
        <v>0</v>
      </c>
      <c r="M15" s="2"/>
      <c r="N15" s="190"/>
      <c r="O15" s="1"/>
      <c r="P15" s="1"/>
      <c r="Q15" s="1"/>
      <c r="R15" s="1"/>
      <c r="S15" s="1"/>
    </row>
    <row r="16" spans="1:19">
      <c r="A16" s="190"/>
      <c r="B16" s="179"/>
      <c r="C16" s="179"/>
      <c r="D16" s="1"/>
      <c r="E16" s="1"/>
      <c r="F16" s="194"/>
      <c r="G16" s="194"/>
      <c r="H16" s="194"/>
      <c r="I16" s="194"/>
      <c r="J16" s="194"/>
      <c r="K16" s="194"/>
      <c r="L16" s="194"/>
      <c r="M16" s="2"/>
      <c r="N16" s="190"/>
      <c r="O16" s="1"/>
      <c r="P16" s="1"/>
      <c r="Q16" s="1"/>
      <c r="R16" s="1"/>
      <c r="S16" s="1"/>
    </row>
    <row r="17" spans="1:19" ht="15.75" thickBot="1">
      <c r="A17" s="190"/>
      <c r="B17" s="179"/>
      <c r="C17" s="179"/>
      <c r="D17" s="1"/>
      <c r="E17" s="1"/>
      <c r="F17" s="194"/>
      <c r="G17" s="194"/>
      <c r="H17" s="194"/>
      <c r="I17" s="194"/>
      <c r="J17" s="194"/>
      <c r="K17" s="194"/>
      <c r="L17" s="194"/>
      <c r="M17" s="2"/>
      <c r="N17" s="190"/>
      <c r="O17" s="1"/>
      <c r="P17" s="1"/>
      <c r="Q17" s="1"/>
      <c r="R17" s="1"/>
      <c r="S17" s="1"/>
    </row>
    <row r="18" spans="1:19" ht="15.75" thickBot="1">
      <c r="A18" s="190"/>
      <c r="B18" s="203" t="s">
        <v>440</v>
      </c>
      <c r="C18" s="203"/>
      <c r="D18" s="2"/>
      <c r="E18" s="2"/>
      <c r="F18" s="188">
        <f>'Los Reinos del Este'!Q16</f>
        <v>0</v>
      </c>
      <c r="G18" s="193"/>
      <c r="H18" s="188">
        <f>'Los Reinos del Este'!P16</f>
        <v>0</v>
      </c>
      <c r="I18" s="193"/>
      <c r="J18" s="197">
        <f>'Los Reinos del Este'!P19</f>
        <v>0</v>
      </c>
      <c r="K18" s="193"/>
      <c r="L18" s="188">
        <f>'Los Reinos del Este'!R16</f>
        <v>0</v>
      </c>
      <c r="M18" s="2"/>
      <c r="N18" s="190"/>
      <c r="O18" s="1"/>
      <c r="P18" s="1"/>
      <c r="Q18" s="1"/>
      <c r="R18" s="1"/>
      <c r="S18" s="1"/>
    </row>
    <row r="19" spans="1:19">
      <c r="A19" s="190"/>
      <c r="B19" s="2"/>
      <c r="C19" s="2"/>
      <c r="D19" s="2"/>
      <c r="E19" s="2"/>
      <c r="F19" s="193"/>
      <c r="G19" s="193"/>
      <c r="H19" s="193"/>
      <c r="I19" s="193"/>
      <c r="J19" s="193"/>
      <c r="K19" s="193"/>
      <c r="L19" s="193"/>
      <c r="M19" s="2"/>
      <c r="N19" s="190"/>
      <c r="O19" s="1"/>
      <c r="P19" s="1"/>
      <c r="Q19" s="1"/>
      <c r="R19" s="1"/>
      <c r="S19" s="1"/>
    </row>
    <row r="20" spans="1:19" ht="15.75" thickBot="1">
      <c r="A20" s="190"/>
      <c r="B20" s="1"/>
      <c r="C20" s="1"/>
      <c r="D20" s="1"/>
      <c r="E20" s="1"/>
      <c r="F20" s="194"/>
      <c r="G20" s="194"/>
      <c r="H20" s="194"/>
      <c r="I20" s="194"/>
      <c r="J20" s="194"/>
      <c r="K20" s="194"/>
      <c r="L20" s="194"/>
      <c r="M20" s="2"/>
      <c r="N20" s="190"/>
      <c r="O20" s="1"/>
      <c r="P20" s="1"/>
      <c r="Q20" s="1"/>
      <c r="R20" s="1"/>
      <c r="S20" s="1"/>
    </row>
    <row r="21" spans="1:19" ht="15.75" thickBot="1">
      <c r="A21" s="190"/>
      <c r="B21" s="205" t="s">
        <v>441</v>
      </c>
      <c r="C21" s="2"/>
      <c r="D21" s="2"/>
      <c r="E21" s="2"/>
      <c r="F21" s="188">
        <f>Moria!N29</f>
        <v>0</v>
      </c>
      <c r="G21" s="193"/>
      <c r="H21" s="188">
        <f>Moria!M29</f>
        <v>0</v>
      </c>
      <c r="I21" s="193"/>
      <c r="J21" s="188">
        <f>Moria!M32</f>
        <v>0</v>
      </c>
      <c r="K21" s="193"/>
      <c r="L21" s="188">
        <f>Moria!O29</f>
        <v>0</v>
      </c>
      <c r="M21" s="2"/>
      <c r="N21" s="190"/>
      <c r="O21" s="1"/>
      <c r="P21" s="1"/>
      <c r="Q21" s="1"/>
      <c r="R21" s="1"/>
      <c r="S21" s="1"/>
    </row>
    <row r="22" spans="1:19">
      <c r="A22" s="190"/>
      <c r="B22" s="180"/>
      <c r="C22" s="1"/>
      <c r="D22" s="1"/>
      <c r="E22" s="1"/>
      <c r="F22" s="194"/>
      <c r="G22" s="194"/>
      <c r="H22" s="194"/>
      <c r="I22" s="194"/>
      <c r="J22" s="194"/>
      <c r="K22" s="194"/>
      <c r="L22" s="194"/>
      <c r="M22" s="2"/>
      <c r="N22" s="190"/>
      <c r="O22" s="1"/>
      <c r="P22" s="1"/>
      <c r="Q22" s="1"/>
      <c r="R22" s="1"/>
      <c r="S22" s="1"/>
    </row>
    <row r="23" spans="1:19" ht="15.75" thickBot="1">
      <c r="A23" s="190"/>
      <c r="B23" s="206"/>
      <c r="C23" s="2"/>
      <c r="D23" s="2"/>
      <c r="E23" s="2"/>
      <c r="F23" s="193"/>
      <c r="G23" s="193"/>
      <c r="H23" s="193"/>
      <c r="I23" s="193"/>
      <c r="J23" s="193"/>
      <c r="K23" s="193"/>
      <c r="L23" s="193"/>
      <c r="M23" s="2"/>
      <c r="N23" s="190"/>
      <c r="O23" s="1"/>
      <c r="P23" s="1"/>
      <c r="Q23" s="1"/>
      <c r="R23" s="1"/>
      <c r="S23" s="1"/>
    </row>
    <row r="24" spans="1:19" ht="15.75" thickBot="1">
      <c r="A24" s="190"/>
      <c r="B24" s="205" t="s">
        <v>442</v>
      </c>
      <c r="C24" s="2"/>
      <c r="D24" s="2"/>
      <c r="E24" s="2"/>
      <c r="F24" s="188">
        <f>Angmar!W18</f>
        <v>0</v>
      </c>
      <c r="G24" s="193"/>
      <c r="H24" s="188">
        <f>Angmar!V18</f>
        <v>0</v>
      </c>
      <c r="I24" s="193"/>
      <c r="J24" s="188">
        <f>Angmar!V21</f>
        <v>0</v>
      </c>
      <c r="K24" s="193"/>
      <c r="L24" s="188">
        <f>Angmar!X18</f>
        <v>0</v>
      </c>
      <c r="M24" s="2"/>
      <c r="N24" s="190"/>
      <c r="O24" s="1"/>
      <c r="P24" s="1"/>
      <c r="Q24" s="1"/>
      <c r="R24" s="1"/>
      <c r="S24" s="1"/>
    </row>
    <row r="25" spans="1:19">
      <c r="A25" s="19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2"/>
      <c r="N25" s="190"/>
      <c r="O25" s="1"/>
      <c r="P25" s="1"/>
      <c r="Q25" s="1"/>
      <c r="R25" s="1"/>
      <c r="S25" s="1"/>
    </row>
    <row r="26" spans="1:19" ht="15.75" thickBot="1">
      <c r="A26" s="19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2"/>
      <c r="N26" s="190"/>
      <c r="O26" s="1"/>
      <c r="P26" s="1"/>
      <c r="Q26" s="1"/>
      <c r="R26" s="1"/>
      <c r="S26" s="1"/>
    </row>
    <row r="27" spans="1:19" ht="15.75" thickBot="1">
      <c r="A27" s="169"/>
      <c r="B27" s="219" t="s">
        <v>482</v>
      </c>
      <c r="C27" s="216"/>
      <c r="D27" s="216"/>
      <c r="E27" s="2"/>
      <c r="F27" s="188">
        <f>'El Hobbit Oscuridad'!L20</f>
        <v>0</v>
      </c>
      <c r="G27" s="193"/>
      <c r="H27" s="188">
        <f>'El Hobbit Oscuridad'!K20</f>
        <v>0</v>
      </c>
      <c r="I27" s="193"/>
      <c r="J27" s="188">
        <f>'El Hobbit Oscuridad'!K23</f>
        <v>0</v>
      </c>
      <c r="K27" s="193"/>
      <c r="L27" s="188">
        <f>'El Hobbit Oscuridad'!M20</f>
        <v>0</v>
      </c>
      <c r="M27" s="1"/>
      <c r="N27" s="169"/>
      <c r="O27" s="1"/>
      <c r="P27" s="1"/>
      <c r="Q27" s="1"/>
      <c r="R27" s="1"/>
      <c r="S27" s="1"/>
    </row>
    <row r="28" spans="1:19">
      <c r="A28" s="19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2"/>
      <c r="N28" s="190"/>
      <c r="O28" s="1"/>
      <c r="P28" s="1"/>
      <c r="Q28" s="1"/>
      <c r="R28" s="1"/>
      <c r="S28" s="1"/>
    </row>
    <row r="29" spans="1:19">
      <c r="A29" s="19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2"/>
      <c r="N29" s="190"/>
      <c r="O29" s="1"/>
      <c r="P29" s="1"/>
      <c r="Q29" s="1"/>
      <c r="R29" s="1"/>
      <c r="S29" s="1"/>
    </row>
    <row r="30" spans="1:19" ht="15.75" thickBot="1">
      <c r="A30" s="19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"/>
      <c r="N30" s="190"/>
      <c r="O30" s="1"/>
      <c r="P30" s="1"/>
      <c r="Q30" s="1"/>
      <c r="R30" s="1"/>
      <c r="S30" s="1"/>
    </row>
    <row r="31" spans="1:19" ht="15.75" thickBot="1">
      <c r="A31" s="190"/>
      <c r="B31" s="185" t="s">
        <v>436</v>
      </c>
      <c r="C31" s="2"/>
      <c r="D31" s="2"/>
      <c r="E31" s="2"/>
      <c r="F31" s="196">
        <f>SUM(F9,F12,F15,F18,F21,F24,F27)</f>
        <v>0</v>
      </c>
      <c r="G31" s="218"/>
      <c r="H31" s="196">
        <f t="shared" ref="H31" si="0">SUM(H9,H12,H15,H18,H21,H24,H27)</f>
        <v>0</v>
      </c>
      <c r="I31" s="218"/>
      <c r="J31" s="222">
        <f>SUM(J9,J12,J15,J18,J21,J24,J27)</f>
        <v>0</v>
      </c>
      <c r="K31" s="218"/>
      <c r="L31" s="196">
        <f>SUM(L9,L12,L15,L18,L21,L24,L27)</f>
        <v>0</v>
      </c>
      <c r="M31" s="2"/>
      <c r="N31" s="190"/>
      <c r="O31" s="1"/>
      <c r="P31" s="1"/>
      <c r="Q31" s="1"/>
      <c r="R31" s="1"/>
      <c r="S31" s="1"/>
    </row>
    <row r="32" spans="1:19">
      <c r="A32" s="19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90"/>
      <c r="O32" s="1"/>
      <c r="P32" s="1"/>
      <c r="Q32" s="1"/>
      <c r="R32" s="1"/>
      <c r="S32" s="1"/>
    </row>
    <row r="33" spans="1:19">
      <c r="A33" s="19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90"/>
      <c r="O33" s="1"/>
      <c r="P33" s="1"/>
      <c r="Q33" s="1"/>
      <c r="R33" s="1"/>
      <c r="S33" s="1"/>
    </row>
    <row r="34" spans="1:19" ht="7.5" customHeight="1">
      <c r="A34" s="19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90"/>
      <c r="O34" s="1"/>
      <c r="P34" s="1"/>
      <c r="Q34" s="1"/>
      <c r="R34" s="1"/>
      <c r="S34" s="1"/>
    </row>
    <row r="35" spans="1:19">
      <c r="A35" s="190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2"/>
      <c r="N35" s="190"/>
      <c r="O35" s="1"/>
      <c r="P35" s="1"/>
      <c r="Q35" s="1"/>
      <c r="R35" s="1"/>
      <c r="S35" s="1"/>
    </row>
    <row r="36" spans="1:19">
      <c r="A36" s="190"/>
      <c r="B36" s="186"/>
      <c r="C36" s="3"/>
      <c r="D36" s="3"/>
      <c r="E36" s="3"/>
      <c r="F36" s="187"/>
      <c r="G36" s="3"/>
      <c r="H36" s="187"/>
      <c r="I36" s="3"/>
      <c r="J36" s="187"/>
      <c r="K36" s="3"/>
      <c r="L36" s="187"/>
      <c r="M36" s="2"/>
      <c r="N36" s="190"/>
      <c r="O36" s="1"/>
      <c r="P36" s="1"/>
      <c r="Q36" s="1"/>
      <c r="R36" s="1"/>
      <c r="S36" s="1"/>
    </row>
    <row r="37" spans="1:19">
      <c r="A37" s="190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2"/>
      <c r="N37" s="190"/>
      <c r="O37" s="1"/>
      <c r="P37" s="1"/>
      <c r="Q37" s="1"/>
      <c r="R37" s="1"/>
      <c r="S37" s="1"/>
    </row>
    <row r="38" spans="1:19">
      <c r="A38" s="19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2"/>
      <c r="N38" s="190"/>
      <c r="O38" s="1"/>
      <c r="P38" s="1"/>
      <c r="Q38" s="1"/>
      <c r="R38" s="1"/>
      <c r="S38" s="1"/>
    </row>
    <row r="39" spans="1:19" ht="7.5" customHeight="1">
      <c r="A39" s="190"/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"/>
      <c r="P39" s="1"/>
      <c r="Q39" s="1"/>
      <c r="R39" s="1"/>
      <c r="S39" s="1"/>
    </row>
    <row r="40" spans="1:19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2"/>
      <c r="N40" s="2"/>
      <c r="O40" s="1"/>
      <c r="P40" s="1"/>
      <c r="Q40" s="1"/>
      <c r="R40" s="1"/>
      <c r="S40" s="1"/>
    </row>
    <row r="41" spans="1:19">
      <c r="A41" s="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2"/>
      <c r="N41" s="2"/>
      <c r="O41" s="1"/>
      <c r="P41" s="1"/>
      <c r="Q41" s="1"/>
      <c r="R41" s="1"/>
      <c r="S41" s="1"/>
    </row>
    <row r="42" spans="1:19">
      <c r="A42" s="2"/>
      <c r="B42" s="186"/>
      <c r="C42" s="3"/>
      <c r="D42" s="3"/>
      <c r="E42" s="3"/>
      <c r="F42" s="187"/>
      <c r="G42" s="3"/>
      <c r="H42" s="187"/>
      <c r="I42" s="3"/>
      <c r="J42" s="187"/>
      <c r="K42" s="3"/>
      <c r="L42" s="187"/>
      <c r="M42" s="2"/>
      <c r="N42" s="2"/>
      <c r="O42" s="1"/>
      <c r="P42" s="1"/>
      <c r="Q42" s="1"/>
      <c r="R42" s="1"/>
      <c r="S42" s="1"/>
    </row>
    <row r="43" spans="1:19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2"/>
      <c r="N43" s="2"/>
      <c r="O43" s="1"/>
      <c r="P43" s="1"/>
      <c r="Q43" s="1"/>
      <c r="R43" s="1"/>
      <c r="S43" s="1"/>
    </row>
    <row r="44" spans="1:19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</sheetData>
  <mergeCells count="2">
    <mergeCell ref="B2:M4"/>
    <mergeCell ref="B5:C5"/>
  </mergeCells>
  <hyperlinks>
    <hyperlink ref="B5" location="Índice!A1" display="VOLVER AL ÍNDICE"/>
    <hyperlink ref="B9" location="Mordor!A1" display="MORDOR"/>
    <hyperlink ref="B12" location="Isengard!A1" display="ISENGARD"/>
    <hyperlink ref="B15" location="'Harad y Umbar'!A1" display="HARAD Y UMBAR"/>
    <hyperlink ref="B18" location="'Los Reinos del Este'!A1" display="LOS REINOS DEL ESTE"/>
    <hyperlink ref="B21" location="Moria!A1" display="MORIA"/>
    <hyperlink ref="B24" location="Angmar!A1" display="ANGMAR"/>
    <hyperlink ref="B18:C18" location="'Los Reinos del Este'!A1" display="LOS REINOS DEL ESTE"/>
    <hyperlink ref="B15:C15" location="'Harad y Umbar'!A1" display="HARAD Y UMBAR"/>
    <hyperlink ref="B27:D27" location="'El Hobbit Oscuridad'!A1" display="EL HOBBIT: FUERZAS DE LA OSCURIDAD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44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/>
  <cols>
    <col min="1" max="1" width="34.28515625" customWidth="1"/>
    <col min="2" max="2" width="9.7109375" customWidth="1"/>
    <col min="3" max="22" width="3.28515625" customWidth="1"/>
    <col min="23" max="25" width="9.7109375" customWidth="1"/>
  </cols>
  <sheetData>
    <row r="1" spans="1:31" ht="170.1" customHeight="1">
      <c r="A1" s="175" t="s">
        <v>2</v>
      </c>
      <c r="B1" s="4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  <c r="S1" s="5" t="s">
        <v>20</v>
      </c>
      <c r="T1" s="5" t="s">
        <v>21</v>
      </c>
      <c r="U1" s="5" t="s">
        <v>22</v>
      </c>
      <c r="V1" s="5" t="s">
        <v>23</v>
      </c>
      <c r="W1" s="5" t="s">
        <v>24</v>
      </c>
      <c r="X1" s="5" t="s">
        <v>0</v>
      </c>
      <c r="Y1" s="5" t="s">
        <v>25</v>
      </c>
      <c r="Z1" s="1"/>
      <c r="AA1" s="1"/>
      <c r="AB1" s="1"/>
      <c r="AC1" s="1"/>
      <c r="AD1" s="1"/>
      <c r="AE1" s="1"/>
    </row>
    <row r="2" spans="1:31">
      <c r="A2" s="6" t="s">
        <v>26</v>
      </c>
      <c r="B2" s="7">
        <v>260</v>
      </c>
      <c r="C2" s="8"/>
      <c r="D2" s="8"/>
      <c r="E2" s="9"/>
      <c r="F2" s="9"/>
      <c r="G2" s="9"/>
      <c r="H2" s="10"/>
      <c r="I2" s="8"/>
      <c r="J2" s="8"/>
      <c r="K2" s="11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7"/>
      <c r="X2" s="12">
        <f>W2*B2+(15*K2)</f>
        <v>0</v>
      </c>
      <c r="Y2" s="13">
        <f>3*W2</f>
        <v>0</v>
      </c>
      <c r="Z2" s="1"/>
      <c r="AA2" s="1"/>
      <c r="AB2" s="1"/>
      <c r="AC2" s="1"/>
      <c r="AD2" s="1"/>
      <c r="AE2" s="1"/>
    </row>
    <row r="3" spans="1:31">
      <c r="A3" s="6" t="s">
        <v>27</v>
      </c>
      <c r="B3" s="7">
        <v>70</v>
      </c>
      <c r="C3" s="14"/>
      <c r="D3" s="14"/>
      <c r="E3" s="15"/>
      <c r="F3" s="15"/>
      <c r="G3" s="15"/>
      <c r="H3" s="16"/>
      <c r="I3" s="16"/>
      <c r="J3" s="14"/>
      <c r="K3" s="17"/>
      <c r="L3" s="16"/>
      <c r="M3" s="14"/>
      <c r="N3" s="14"/>
      <c r="O3" s="16"/>
      <c r="P3" s="16"/>
      <c r="Q3" s="16"/>
      <c r="R3" s="16"/>
      <c r="S3" s="16"/>
      <c r="T3" s="16"/>
      <c r="U3" s="16"/>
      <c r="V3" s="16"/>
      <c r="W3" s="7"/>
      <c r="X3" s="12">
        <f>W3*B3+(5*C3+5*D3+10*J3+15*K3+5*M3+5*N3)</f>
        <v>0</v>
      </c>
      <c r="Y3" s="13">
        <f>3*W3</f>
        <v>0</v>
      </c>
      <c r="Z3" s="1"/>
      <c r="AA3" s="1"/>
      <c r="AB3" s="1"/>
      <c r="AC3" s="1"/>
      <c r="AD3" s="1"/>
      <c r="AE3" s="1"/>
    </row>
    <row r="4" spans="1:31">
      <c r="A4" s="6" t="s">
        <v>28</v>
      </c>
      <c r="B4" s="7">
        <v>25</v>
      </c>
      <c r="C4" s="8"/>
      <c r="D4" s="8"/>
      <c r="E4" s="9"/>
      <c r="F4" s="9"/>
      <c r="G4" s="9"/>
      <c r="H4" s="10"/>
      <c r="I4" s="8"/>
      <c r="J4" s="8"/>
      <c r="K4" s="9"/>
      <c r="L4" s="14"/>
      <c r="M4" s="8"/>
      <c r="N4" s="8"/>
      <c r="O4" s="8"/>
      <c r="P4" s="14"/>
      <c r="Q4" s="8"/>
      <c r="R4" s="8"/>
      <c r="S4" s="8"/>
      <c r="T4" s="8"/>
      <c r="U4" s="8"/>
      <c r="V4" s="8"/>
      <c r="W4" s="12"/>
      <c r="X4" s="12">
        <f>W4*B4+(5*L4+10*P4)</f>
        <v>0</v>
      </c>
      <c r="Y4" s="13">
        <f>1*W4</f>
        <v>0</v>
      </c>
      <c r="Z4" s="1"/>
      <c r="AA4" s="1"/>
      <c r="AB4" s="1"/>
      <c r="AC4" s="1"/>
      <c r="AD4" s="1"/>
      <c r="AE4" s="1"/>
    </row>
    <row r="5" spans="1:31">
      <c r="A5" s="6" t="s">
        <v>29</v>
      </c>
      <c r="B5" s="7">
        <v>175</v>
      </c>
      <c r="C5" s="14"/>
      <c r="D5" s="16"/>
      <c r="E5" s="15"/>
      <c r="F5" s="15"/>
      <c r="G5" s="15"/>
      <c r="H5" s="16"/>
      <c r="I5" s="16"/>
      <c r="J5" s="14"/>
      <c r="K5" s="15"/>
      <c r="L5" s="16"/>
      <c r="M5" s="16"/>
      <c r="N5" s="14"/>
      <c r="O5" s="14"/>
      <c r="P5" s="16"/>
      <c r="Q5" s="16"/>
      <c r="R5" s="16"/>
      <c r="S5" s="16"/>
      <c r="T5" s="16"/>
      <c r="U5" s="16"/>
      <c r="V5" s="16"/>
      <c r="W5" s="12"/>
      <c r="X5" s="12">
        <f>W5*B5+(5*C5+10*J5+5*N5+50*O5)</f>
        <v>0</v>
      </c>
      <c r="Y5" s="13">
        <f>6*W5</f>
        <v>0</v>
      </c>
      <c r="Z5" s="1"/>
      <c r="AA5" s="1"/>
      <c r="AB5" s="1"/>
      <c r="AC5" s="1"/>
      <c r="AD5" s="1"/>
      <c r="AE5" s="1"/>
    </row>
    <row r="6" spans="1:31">
      <c r="A6" s="6" t="s">
        <v>30</v>
      </c>
      <c r="B6" s="7">
        <v>55</v>
      </c>
      <c r="C6" s="8"/>
      <c r="D6" s="8"/>
      <c r="E6" s="9"/>
      <c r="F6" s="9"/>
      <c r="G6" s="9"/>
      <c r="H6" s="10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12"/>
      <c r="X6" s="12">
        <f>W6*B6</f>
        <v>0</v>
      </c>
      <c r="Y6" s="13">
        <f>3*W6</f>
        <v>0</v>
      </c>
      <c r="Z6" s="1"/>
      <c r="AA6" s="1"/>
      <c r="AB6" s="1"/>
      <c r="AC6" s="1"/>
      <c r="AD6" s="1"/>
      <c r="AE6" s="1"/>
    </row>
    <row r="7" spans="1:31">
      <c r="A7" s="6" t="s">
        <v>31</v>
      </c>
      <c r="B7" s="7">
        <v>20</v>
      </c>
      <c r="C7" s="16"/>
      <c r="D7" s="16"/>
      <c r="E7" s="15"/>
      <c r="F7" s="15"/>
      <c r="G7" s="15"/>
      <c r="H7" s="16"/>
      <c r="I7" s="16"/>
      <c r="J7" s="16"/>
      <c r="K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8"/>
      <c r="X7" s="12">
        <f t="shared" ref="X7:X8" si="0">W7*B7</f>
        <v>0</v>
      </c>
      <c r="Y7" s="13">
        <f>1*W7</f>
        <v>0</v>
      </c>
      <c r="Z7" s="1"/>
      <c r="AA7" s="1"/>
      <c r="AB7" s="1"/>
      <c r="AC7" s="1"/>
      <c r="AD7" s="1"/>
      <c r="AE7" s="1"/>
    </row>
    <row r="8" spans="1:31">
      <c r="A8" s="6" t="s">
        <v>32</v>
      </c>
      <c r="B8" s="7">
        <v>30</v>
      </c>
      <c r="C8" s="8"/>
      <c r="D8" s="8"/>
      <c r="E8" s="9"/>
      <c r="F8" s="9"/>
      <c r="G8" s="9"/>
      <c r="H8" s="10"/>
      <c r="I8" s="8"/>
      <c r="J8" s="8"/>
      <c r="K8" s="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12"/>
      <c r="X8" s="12">
        <f t="shared" si="0"/>
        <v>0</v>
      </c>
      <c r="Y8" s="13">
        <f>0*W8</f>
        <v>0</v>
      </c>
      <c r="Z8" s="1"/>
      <c r="AA8" s="1"/>
      <c r="AB8" s="1"/>
      <c r="AC8" s="1"/>
      <c r="AD8" s="1"/>
      <c r="AE8" s="1"/>
    </row>
    <row r="9" spans="1:31">
      <c r="A9" s="6" t="s">
        <v>33</v>
      </c>
      <c r="B9" s="7">
        <v>25</v>
      </c>
      <c r="C9" s="16"/>
      <c r="D9" s="16"/>
      <c r="E9" s="15"/>
      <c r="F9" s="15"/>
      <c r="G9" s="15"/>
      <c r="H9" s="16"/>
      <c r="I9" s="16"/>
      <c r="J9" s="14"/>
      <c r="K9" s="15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2"/>
      <c r="X9" s="12">
        <f>W9*B9+(10*J9)</f>
        <v>0</v>
      </c>
      <c r="Y9" s="13">
        <f>1*W9</f>
        <v>0</v>
      </c>
      <c r="Z9" s="1"/>
      <c r="AA9" s="1"/>
      <c r="AB9" s="1"/>
      <c r="AC9" s="1"/>
      <c r="AD9" s="1"/>
      <c r="AE9" s="1"/>
    </row>
    <row r="10" spans="1:31">
      <c r="A10" s="6" t="s">
        <v>34</v>
      </c>
      <c r="B10" s="19">
        <v>55</v>
      </c>
      <c r="C10" s="8"/>
      <c r="D10" s="8"/>
      <c r="E10" s="9"/>
      <c r="F10" s="9"/>
      <c r="G10" s="9"/>
      <c r="H10" s="10"/>
      <c r="I10" s="8"/>
      <c r="J10" s="8"/>
      <c r="K10" s="9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18"/>
      <c r="X10" s="12">
        <f>W10*B10</f>
        <v>0</v>
      </c>
      <c r="Y10" s="13">
        <f>3*W10</f>
        <v>0</v>
      </c>
      <c r="Z10" s="1"/>
      <c r="AA10" s="1"/>
      <c r="AB10" s="1"/>
      <c r="AC10" s="1"/>
      <c r="AD10" s="1"/>
      <c r="AE10" s="1"/>
    </row>
    <row r="11" spans="1:31">
      <c r="A11" s="6" t="s">
        <v>35</v>
      </c>
      <c r="B11" s="19">
        <v>55</v>
      </c>
      <c r="C11" s="16"/>
      <c r="D11" s="16"/>
      <c r="E11" s="15"/>
      <c r="F11" s="15"/>
      <c r="G11" s="15"/>
      <c r="H11" s="16"/>
      <c r="I11" s="16"/>
      <c r="J11" s="16"/>
      <c r="K11" s="15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8"/>
      <c r="X11" s="12">
        <f>W11*B11</f>
        <v>0</v>
      </c>
      <c r="Y11" s="13">
        <f>1*W11</f>
        <v>0</v>
      </c>
      <c r="Z11" s="1"/>
      <c r="AA11" s="1"/>
      <c r="AB11" s="1"/>
      <c r="AC11" s="1"/>
      <c r="AD11" s="1"/>
      <c r="AE11" s="1"/>
    </row>
    <row r="12" spans="1:31">
      <c r="A12" s="6" t="s">
        <v>36</v>
      </c>
      <c r="B12" s="19">
        <v>50</v>
      </c>
      <c r="C12" s="20"/>
      <c r="D12" s="14"/>
      <c r="E12" s="9"/>
      <c r="F12" s="9"/>
      <c r="G12" s="9"/>
      <c r="H12" s="10"/>
      <c r="I12" s="8"/>
      <c r="J12" s="20"/>
      <c r="K12" s="9"/>
      <c r="L12" s="8"/>
      <c r="M12" s="8"/>
      <c r="N12" s="20"/>
      <c r="O12" s="8"/>
      <c r="P12" s="8"/>
      <c r="Q12" s="8"/>
      <c r="R12" s="8"/>
      <c r="S12" s="8"/>
      <c r="T12" s="8"/>
      <c r="U12" s="8"/>
      <c r="V12" s="8"/>
      <c r="W12" s="18"/>
      <c r="X12" s="12">
        <f>W12*B12+(5*C12+5*D12+10*J12+5*N12)</f>
        <v>0</v>
      </c>
      <c r="Y12" s="13">
        <f>2*W12</f>
        <v>0</v>
      </c>
      <c r="Z12" s="1"/>
      <c r="AA12" s="1"/>
      <c r="AB12" s="1"/>
      <c r="AC12" s="1"/>
      <c r="AD12" s="1"/>
      <c r="AE12" s="1"/>
    </row>
    <row r="13" spans="1:31">
      <c r="A13" s="6" t="s">
        <v>37</v>
      </c>
      <c r="B13" s="7">
        <v>60</v>
      </c>
      <c r="C13" s="20"/>
      <c r="D13" s="16"/>
      <c r="E13" s="15"/>
      <c r="F13" s="15"/>
      <c r="G13" s="15"/>
      <c r="H13" s="16"/>
      <c r="I13" s="16"/>
      <c r="J13" s="14"/>
      <c r="K13" s="17"/>
      <c r="L13" s="16"/>
      <c r="M13" s="14"/>
      <c r="N13" s="14"/>
      <c r="O13" s="16"/>
      <c r="P13" s="16"/>
      <c r="Q13" s="16"/>
      <c r="R13" s="16"/>
      <c r="S13" s="16"/>
      <c r="T13" s="16"/>
      <c r="U13" s="16"/>
      <c r="V13" s="16"/>
      <c r="W13" s="12"/>
      <c r="X13" s="12">
        <f>W13*B13+(5*C13+5*D13+10*J13+15*K13+5*M13+5*N13)</f>
        <v>0</v>
      </c>
      <c r="Y13" s="13">
        <f>2*W13</f>
        <v>0</v>
      </c>
      <c r="Z13" s="1"/>
      <c r="AA13" s="1"/>
      <c r="AB13" s="1"/>
      <c r="AC13" s="1"/>
      <c r="AD13" s="1"/>
      <c r="AE13" s="1"/>
    </row>
    <row r="14" spans="1:31">
      <c r="A14" s="6" t="s">
        <v>38</v>
      </c>
      <c r="B14" s="19">
        <v>7</v>
      </c>
      <c r="C14" s="14"/>
      <c r="D14" s="14"/>
      <c r="E14" s="9"/>
      <c r="F14" s="17"/>
      <c r="G14" s="17"/>
      <c r="H14" s="21"/>
      <c r="I14" s="14"/>
      <c r="J14" s="8"/>
      <c r="K14" s="9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18"/>
      <c r="X14" s="12">
        <f>W14*B14+(1*C14+1*D14+1*F14+1*G14+20*H14+25*I14)</f>
        <v>0</v>
      </c>
      <c r="Y14" s="22"/>
      <c r="Z14" s="1"/>
      <c r="AA14" s="1"/>
      <c r="AB14" s="1"/>
      <c r="AC14" s="1"/>
      <c r="AD14" s="1"/>
      <c r="AE14" s="1"/>
    </row>
    <row r="15" spans="1:31">
      <c r="A15" s="6" t="s">
        <v>39</v>
      </c>
      <c r="B15" s="19">
        <v>13</v>
      </c>
      <c r="C15" s="14"/>
      <c r="D15" s="16"/>
      <c r="E15" s="15"/>
      <c r="F15" s="15"/>
      <c r="G15" s="15"/>
      <c r="H15" s="16"/>
      <c r="I15" s="14"/>
      <c r="J15" s="16"/>
      <c r="K15" s="15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8"/>
      <c r="X15" s="12">
        <f>W15*B15+(1*C15+25*I15)</f>
        <v>0</v>
      </c>
      <c r="Y15" s="22"/>
      <c r="Z15" s="1"/>
      <c r="AA15" s="1"/>
      <c r="AB15" s="1"/>
      <c r="AC15" s="1"/>
      <c r="AD15" s="1"/>
      <c r="AE15" s="1"/>
    </row>
    <row r="16" spans="1:31">
      <c r="A16" s="6" t="s">
        <v>40</v>
      </c>
      <c r="B16" s="7">
        <v>8</v>
      </c>
      <c r="C16" s="8"/>
      <c r="D16" s="8"/>
      <c r="E16" s="9"/>
      <c r="F16" s="11"/>
      <c r="G16" s="17"/>
      <c r="H16" s="10"/>
      <c r="I16" s="8"/>
      <c r="J16" s="8"/>
      <c r="K16" s="9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12"/>
      <c r="X16" s="12">
        <f>W16*B16+(1*F16+1*G16)</f>
        <v>0</v>
      </c>
      <c r="Y16" s="22"/>
      <c r="Z16" s="1"/>
      <c r="AA16" s="1"/>
      <c r="AB16" s="1"/>
      <c r="AC16" s="1"/>
      <c r="AD16" s="1"/>
      <c r="AE16" s="1"/>
    </row>
    <row r="17" spans="1:31">
      <c r="A17" s="6" t="s">
        <v>41</v>
      </c>
      <c r="B17" s="7">
        <v>8</v>
      </c>
      <c r="C17" s="16"/>
      <c r="D17" s="16"/>
      <c r="E17" s="17"/>
      <c r="F17" s="17"/>
      <c r="G17" s="15"/>
      <c r="H17" s="16"/>
      <c r="I17" s="16"/>
      <c r="J17" s="14"/>
      <c r="K17" s="15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2"/>
      <c r="X17" s="12">
        <f>W17*B17+(2*E17+1*F17+6*J17)</f>
        <v>0</v>
      </c>
      <c r="Y17" s="22"/>
      <c r="Z17" s="1"/>
      <c r="AA17" s="1"/>
      <c r="AB17" s="1"/>
      <c r="AC17" s="1"/>
      <c r="AD17" s="1"/>
      <c r="AE17" s="1"/>
    </row>
    <row r="18" spans="1:31">
      <c r="A18" s="6" t="s">
        <v>42</v>
      </c>
      <c r="B18" s="19">
        <v>10</v>
      </c>
      <c r="C18" s="20"/>
      <c r="D18" s="8"/>
      <c r="E18" s="9"/>
      <c r="F18" s="9"/>
      <c r="G18" s="9"/>
      <c r="H18" s="10"/>
      <c r="I18" s="14"/>
      <c r="J18" s="8"/>
      <c r="K18" s="9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19"/>
      <c r="X18" s="12">
        <f>W18*B18+(1*C18+25*I18)</f>
        <v>0</v>
      </c>
      <c r="Y18" s="22"/>
      <c r="Z18" s="1"/>
      <c r="AA18" s="1"/>
      <c r="AB18" s="1"/>
      <c r="AC18" s="1"/>
      <c r="AD18" s="1"/>
      <c r="AE18" s="1"/>
    </row>
    <row r="19" spans="1:31">
      <c r="A19" s="23" t="s">
        <v>43</v>
      </c>
      <c r="B19" s="19">
        <v>8</v>
      </c>
      <c r="C19" s="14"/>
      <c r="D19" s="14"/>
      <c r="E19" s="15"/>
      <c r="F19" s="17"/>
      <c r="G19" s="15"/>
      <c r="H19" s="16"/>
      <c r="I19" s="16"/>
      <c r="J19" s="16"/>
      <c r="K19" s="15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8"/>
      <c r="X19" s="12">
        <f>W19*B19+(1*C19+1*D19+1*F19)</f>
        <v>0</v>
      </c>
      <c r="Y19" s="22"/>
      <c r="Z19" s="1"/>
      <c r="AA19" s="1"/>
      <c r="AB19" s="1"/>
      <c r="AC19" s="1"/>
      <c r="AD19" s="1"/>
      <c r="AE19" s="1"/>
    </row>
    <row r="20" spans="1:31">
      <c r="A20" s="23" t="s">
        <v>44</v>
      </c>
      <c r="B20" s="19">
        <v>110</v>
      </c>
      <c r="C20" s="8"/>
      <c r="D20" s="8"/>
      <c r="E20" s="9"/>
      <c r="F20" s="9"/>
      <c r="G20" s="9"/>
      <c r="H20" s="10"/>
      <c r="I20" s="8"/>
      <c r="J20" s="8"/>
      <c r="K20" s="9"/>
      <c r="L20" s="8"/>
      <c r="M20" s="8"/>
      <c r="N20" s="8"/>
      <c r="O20" s="8"/>
      <c r="P20" s="8"/>
      <c r="Q20" s="14"/>
      <c r="R20" s="14"/>
      <c r="S20" s="14"/>
      <c r="T20" s="24"/>
      <c r="U20" s="8"/>
      <c r="V20" s="25"/>
      <c r="W20" s="18"/>
      <c r="X20" s="12">
        <f>W20*B20+(75*Q20+20*R20+15*S20+15*T20+7*V20)</f>
        <v>0</v>
      </c>
      <c r="Y20" s="22"/>
      <c r="Z20" s="1"/>
      <c r="AA20" s="1"/>
      <c r="AB20" s="1"/>
      <c r="AC20" s="1"/>
      <c r="AD20" s="1"/>
      <c r="AE20" s="1"/>
    </row>
    <row r="21" spans="1:31">
      <c r="A21" s="23" t="s">
        <v>45</v>
      </c>
      <c r="B21" s="12">
        <v>70</v>
      </c>
      <c r="C21" s="16"/>
      <c r="D21" s="16"/>
      <c r="E21" s="15"/>
      <c r="F21" s="15"/>
      <c r="G21" s="15"/>
      <c r="H21" s="16"/>
      <c r="I21" s="16"/>
      <c r="J21" s="16"/>
      <c r="K21" s="15"/>
      <c r="L21" s="16"/>
      <c r="M21" s="16"/>
      <c r="N21" s="16"/>
      <c r="O21" s="16"/>
      <c r="P21" s="16"/>
      <c r="Q21" s="14"/>
      <c r="R21" s="16"/>
      <c r="S21" s="14"/>
      <c r="T21" s="25"/>
      <c r="U21" s="26"/>
      <c r="V21" s="14"/>
      <c r="W21" s="18"/>
      <c r="X21" s="12">
        <f>W21*B21+(75*Q21+15*S21+15*T21+20*U21+7*V21)</f>
        <v>0</v>
      </c>
      <c r="Y21" s="22"/>
      <c r="Z21" s="1"/>
      <c r="AA21" s="1"/>
      <c r="AB21" s="1"/>
      <c r="AC21" s="1"/>
      <c r="AD21" s="1"/>
      <c r="AE21" s="1"/>
    </row>
    <row r="22" spans="1:31">
      <c r="A22" s="2"/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1"/>
      <c r="N22" s="1"/>
      <c r="O22" s="1"/>
      <c r="P22" s="1"/>
      <c r="Q22" s="28"/>
      <c r="R22" s="28"/>
      <c r="S22" s="28"/>
      <c r="T22" s="1"/>
      <c r="U22" s="1"/>
      <c r="V22" s="28"/>
      <c r="W22" s="29"/>
      <c r="X22" s="27"/>
      <c r="Y22" s="22"/>
      <c r="Z22" s="1"/>
      <c r="AA22" s="1"/>
      <c r="AB22" s="1"/>
      <c r="AC22" s="1"/>
      <c r="AD22" s="1"/>
      <c r="AE22" s="1"/>
    </row>
    <row r="23" spans="1:31" ht="15.75" thickBot="1">
      <c r="A23" s="2"/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"/>
      <c r="N23" s="1"/>
      <c r="O23" s="1"/>
      <c r="P23" s="1"/>
      <c r="Q23" s="28"/>
      <c r="R23" s="28"/>
      <c r="S23" s="28"/>
      <c r="T23" s="1"/>
      <c r="U23" s="1"/>
      <c r="V23" s="28"/>
      <c r="W23" s="27" t="s">
        <v>46</v>
      </c>
      <c r="X23" s="30" t="s">
        <v>47</v>
      </c>
      <c r="Y23" s="30" t="s">
        <v>47</v>
      </c>
      <c r="Z23" s="1"/>
      <c r="AA23" s="1"/>
      <c r="AB23" s="1"/>
      <c r="AC23" s="1"/>
      <c r="AD23" s="1"/>
      <c r="AE23" s="1"/>
    </row>
    <row r="24" spans="1:31" ht="15.75" thickBot="1">
      <c r="A24" s="2"/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1"/>
      <c r="N24" s="1"/>
      <c r="O24" s="1"/>
      <c r="P24" s="1"/>
      <c r="Q24" s="28"/>
      <c r="R24" s="28"/>
      <c r="S24" s="28"/>
      <c r="T24" s="1"/>
      <c r="U24" s="1"/>
      <c r="V24" s="28"/>
      <c r="W24" s="31">
        <f>SUM(W2:W21)</f>
        <v>0</v>
      </c>
      <c r="X24" s="32">
        <f>SUM(X2:X21)</f>
        <v>0</v>
      </c>
      <c r="Y24" s="33">
        <f>SUM(Y2:Y13)</f>
        <v>0</v>
      </c>
      <c r="Z24" s="1"/>
      <c r="AA24" s="1"/>
      <c r="AB24" s="1"/>
      <c r="AC24" s="1"/>
      <c r="AD24" s="1"/>
      <c r="AE24" s="1"/>
    </row>
    <row r="25" spans="1:31">
      <c r="A25" s="2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1"/>
      <c r="N25" s="1"/>
      <c r="O25" s="1"/>
      <c r="P25" s="1"/>
      <c r="Q25" s="28"/>
      <c r="R25" s="28"/>
      <c r="S25" s="28"/>
      <c r="T25" s="1"/>
      <c r="U25" s="1"/>
      <c r="V25" s="28"/>
      <c r="W25" s="27"/>
      <c r="X25" s="34"/>
      <c r="Y25" s="22"/>
      <c r="Z25" s="1"/>
      <c r="AA25" s="1"/>
      <c r="AB25" s="1"/>
      <c r="AC25" s="1"/>
      <c r="AD25" s="1"/>
      <c r="AE25" s="1"/>
    </row>
    <row r="26" spans="1:31">
      <c r="A26" s="2"/>
      <c r="B26" s="35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1"/>
      <c r="N26" s="1"/>
      <c r="O26" s="1"/>
      <c r="P26" s="1"/>
      <c r="Q26" s="28"/>
      <c r="R26" s="28"/>
      <c r="S26" s="28"/>
      <c r="T26" s="1"/>
      <c r="U26" s="1"/>
      <c r="V26" s="28"/>
      <c r="W26" s="27" t="s">
        <v>1</v>
      </c>
      <c r="X26" s="36"/>
      <c r="Y26" s="22"/>
      <c r="Z26" s="1"/>
      <c r="AA26" s="1"/>
      <c r="AB26" s="1"/>
      <c r="AC26" s="1"/>
      <c r="AD26" s="1"/>
      <c r="AE26" s="1"/>
    </row>
    <row r="27" spans="1:31">
      <c r="A27" s="2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1"/>
      <c r="N27" s="1"/>
      <c r="O27" s="1"/>
      <c r="P27" s="1"/>
      <c r="Q27" s="28"/>
      <c r="R27" s="28"/>
      <c r="S27" s="28"/>
      <c r="T27" s="1"/>
      <c r="U27" s="1"/>
      <c r="V27" s="28"/>
      <c r="W27" s="37">
        <f>ROUNDUP(W24/3,0)</f>
        <v>0</v>
      </c>
      <c r="X27" s="36"/>
      <c r="Y27" s="22"/>
      <c r="Z27" s="1"/>
      <c r="AA27" s="1"/>
      <c r="AB27" s="1"/>
      <c r="AC27" s="1"/>
      <c r="AD27" s="1"/>
      <c r="AE27" s="1"/>
    </row>
    <row r="28" spans="1:31">
      <c r="A28" s="2"/>
      <c r="B28" s="2"/>
      <c r="C28" s="36"/>
      <c r="D28" s="36"/>
      <c r="E28" s="36"/>
      <c r="F28" s="36"/>
      <c r="G28" s="28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9"/>
      <c r="U28" s="36"/>
      <c r="V28" s="1"/>
      <c r="W28" s="1"/>
      <c r="X28" s="1"/>
      <c r="Y28" s="22"/>
      <c r="Z28" s="1"/>
      <c r="AA28" s="1"/>
      <c r="AB28" s="1"/>
      <c r="AC28" s="1"/>
      <c r="AD28" s="1"/>
      <c r="AE28" s="1"/>
    </row>
    <row r="29" spans="1:31">
      <c r="A29" s="2"/>
      <c r="B29" s="2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1"/>
      <c r="U29" s="1"/>
      <c r="V29" s="1"/>
      <c r="W29" s="1"/>
      <c r="X29" s="1"/>
      <c r="Y29" s="22"/>
      <c r="Z29" s="1"/>
      <c r="AA29" s="1"/>
      <c r="AB29" s="1"/>
      <c r="AC29" s="1"/>
      <c r="AD29" s="1"/>
      <c r="AE29" s="1"/>
    </row>
    <row r="30" spans="1:3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1"/>
      <c r="U30" s="1"/>
      <c r="V30" s="1"/>
      <c r="W30" s="1"/>
      <c r="X30" s="1"/>
      <c r="Y30" s="22"/>
      <c r="Z30" s="1"/>
      <c r="AA30" s="1"/>
      <c r="AB30" s="1"/>
      <c r="AC30" s="1"/>
      <c r="AD30" s="1"/>
      <c r="AE30" s="1"/>
    </row>
    <row r="31" spans="1: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1"/>
      <c r="U31" s="1"/>
      <c r="V31" s="1"/>
      <c r="W31" s="1"/>
      <c r="X31" s="1"/>
      <c r="Y31" s="22"/>
      <c r="Z31" s="1"/>
      <c r="AA31" s="1"/>
      <c r="AB31" s="1"/>
      <c r="AC31" s="1"/>
      <c r="AD31" s="1"/>
      <c r="AE31" s="1"/>
    </row>
    <row r="32" spans="1:3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1"/>
      <c r="U32" s="1"/>
      <c r="V32" s="1"/>
      <c r="W32" s="1"/>
      <c r="X32" s="1"/>
      <c r="Y32" s="22"/>
      <c r="Z32" s="1"/>
      <c r="AA32" s="1"/>
      <c r="AB32" s="1"/>
      <c r="AC32" s="1"/>
      <c r="AD32" s="1"/>
      <c r="AE32" s="1"/>
    </row>
    <row r="33" spans="1:3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1"/>
      <c r="U33" s="1"/>
      <c r="V33" s="1"/>
      <c r="W33" s="1"/>
      <c r="X33" s="1"/>
      <c r="Y33" s="22"/>
      <c r="Z33" s="1"/>
      <c r="AA33" s="1"/>
      <c r="AB33" s="1"/>
      <c r="AC33" s="1"/>
      <c r="AD33" s="1"/>
      <c r="AE33" s="1"/>
    </row>
    <row r="34" spans="1:3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2"/>
      <c r="Z34" s="1"/>
      <c r="AA34" s="1"/>
      <c r="AB34" s="1"/>
      <c r="AC34" s="1"/>
      <c r="AD34" s="1"/>
      <c r="AE34" s="1"/>
    </row>
    <row r="35" spans="1:3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2"/>
      <c r="Z35" s="1"/>
      <c r="AA35" s="1"/>
      <c r="AB35" s="1"/>
      <c r="AC35" s="1"/>
      <c r="AD35" s="1"/>
      <c r="AE35" s="1"/>
    </row>
    <row r="36" spans="1:3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2"/>
      <c r="Z36" s="1"/>
      <c r="AA36" s="1"/>
      <c r="AB36" s="1"/>
      <c r="AC36" s="1"/>
      <c r="AD36" s="1"/>
      <c r="AE36" s="1"/>
    </row>
    <row r="37" spans="1:3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2"/>
      <c r="Z37" s="1"/>
      <c r="AA37" s="1"/>
      <c r="AB37" s="1"/>
      <c r="AC37" s="1"/>
      <c r="AD37" s="1"/>
      <c r="AE37" s="1"/>
    </row>
    <row r="38" spans="1:3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2"/>
      <c r="Z38" s="1"/>
      <c r="AA38" s="1"/>
      <c r="AB38" s="1"/>
      <c r="AC38" s="1"/>
      <c r="AD38" s="1"/>
      <c r="AE38" s="1"/>
    </row>
    <row r="39" spans="1:3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2"/>
      <c r="Z39" s="1"/>
      <c r="AA39" s="1"/>
      <c r="AB39" s="1"/>
      <c r="AC39" s="1"/>
      <c r="AD39" s="1"/>
      <c r="AE39" s="1"/>
    </row>
    <row r="40" spans="1:3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2"/>
      <c r="Z40" s="1"/>
      <c r="AA40" s="1"/>
      <c r="AB40" s="1"/>
      <c r="AC40" s="1"/>
      <c r="AD40" s="1"/>
      <c r="AE40" s="1"/>
    </row>
    <row r="41" spans="1:3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2"/>
      <c r="Z41" s="1"/>
      <c r="AA41" s="1"/>
      <c r="AB41" s="1"/>
      <c r="AC41" s="1"/>
      <c r="AD41" s="1"/>
      <c r="AE41" s="1"/>
    </row>
    <row r="42" spans="1:3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2"/>
      <c r="Z42" s="1"/>
      <c r="AA42" s="1"/>
      <c r="AB42" s="1"/>
      <c r="AC42" s="1"/>
      <c r="AD42" s="1"/>
      <c r="AE42" s="1"/>
    </row>
    <row r="43" spans="1:3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2"/>
      <c r="Z43" s="1"/>
      <c r="AA43" s="1"/>
      <c r="AB43" s="1"/>
      <c r="AC43" s="1"/>
      <c r="AD43" s="1"/>
      <c r="AE43" s="1"/>
    </row>
    <row r="44" spans="1:3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2"/>
      <c r="Z44" s="1"/>
      <c r="AA44" s="1"/>
      <c r="AB44" s="1"/>
      <c r="AC44" s="1"/>
      <c r="AD44" s="1"/>
      <c r="AE44" s="1"/>
    </row>
  </sheetData>
  <hyperlinks>
    <hyperlink ref="A1" location="'Fuerzas de la Luz'!A1" display="Reinos de los hombres: Minas Tirith"/>
  </hyperlinks>
  <pageMargins left="0.7" right="0.7" top="0.75" bottom="0.75" header="0.3" footer="0.3"/>
  <ignoredErrors>
    <ignoredError sqref="X9 Y8 Y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W36"/>
  <sheetViews>
    <sheetView workbookViewId="0">
      <pane ySplit="1" topLeftCell="A2" activePane="bottomLeft" state="frozen"/>
      <selection pane="bottomLeft"/>
    </sheetView>
  </sheetViews>
  <sheetFormatPr baseColWidth="10" defaultColWidth="9.140625" defaultRowHeight="15"/>
  <cols>
    <col min="1" max="1" width="34.28515625" customWidth="1"/>
    <col min="2" max="2" width="9.7109375" customWidth="1"/>
    <col min="3" max="10" width="3.28515625" customWidth="1"/>
    <col min="11" max="13" width="9.7109375" customWidth="1"/>
  </cols>
  <sheetData>
    <row r="1" spans="1:23" ht="170.1" customHeight="1">
      <c r="A1" s="175" t="s">
        <v>48</v>
      </c>
      <c r="B1" s="4" t="s">
        <v>3</v>
      </c>
      <c r="C1" s="5" t="s">
        <v>4</v>
      </c>
      <c r="D1" s="5" t="s">
        <v>7</v>
      </c>
      <c r="E1" s="5" t="s">
        <v>49</v>
      </c>
      <c r="F1" s="5" t="s">
        <v>9</v>
      </c>
      <c r="G1" s="5" t="s">
        <v>10</v>
      </c>
      <c r="H1" s="5" t="s">
        <v>11</v>
      </c>
      <c r="I1" s="5" t="s">
        <v>12</v>
      </c>
      <c r="J1" s="5" t="s">
        <v>15</v>
      </c>
      <c r="K1" s="5" t="s">
        <v>24</v>
      </c>
      <c r="L1" s="5" t="s">
        <v>0</v>
      </c>
      <c r="M1" s="5" t="s">
        <v>25</v>
      </c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6" t="s">
        <v>50</v>
      </c>
      <c r="B2" s="7">
        <v>135</v>
      </c>
      <c r="C2" s="38"/>
      <c r="D2" s="38"/>
      <c r="E2" s="39"/>
      <c r="F2" s="40"/>
      <c r="G2" s="38"/>
      <c r="H2" s="38"/>
      <c r="I2" s="17"/>
      <c r="J2" s="14"/>
      <c r="K2" s="7"/>
      <c r="L2" s="12">
        <f>K2*B2+(15*I2+5*J2)</f>
        <v>0</v>
      </c>
      <c r="M2" s="13">
        <f>3*K2</f>
        <v>0</v>
      </c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6" t="s">
        <v>51</v>
      </c>
      <c r="B3" s="7">
        <v>60</v>
      </c>
      <c r="C3" s="41"/>
      <c r="D3" s="41"/>
      <c r="E3" s="42"/>
      <c r="F3" s="41"/>
      <c r="G3" s="41"/>
      <c r="H3" s="14"/>
      <c r="I3" s="42"/>
      <c r="J3" s="41"/>
      <c r="K3" s="7"/>
      <c r="L3" s="12">
        <f>K3*B3+(10*H3)</f>
        <v>0</v>
      </c>
      <c r="M3" s="13">
        <f>3*K3</f>
        <v>0</v>
      </c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6" t="s">
        <v>52</v>
      </c>
      <c r="B4" s="7">
        <v>55</v>
      </c>
      <c r="C4" s="38"/>
      <c r="D4" s="38"/>
      <c r="E4" s="39"/>
      <c r="F4" s="38"/>
      <c r="G4" s="38"/>
      <c r="H4" s="38"/>
      <c r="I4" s="39"/>
      <c r="J4" s="38"/>
      <c r="K4" s="12"/>
      <c r="L4" s="12">
        <f>K4*B4</f>
        <v>0</v>
      </c>
      <c r="M4" s="13">
        <f>2*K4</f>
        <v>0</v>
      </c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6" t="s">
        <v>53</v>
      </c>
      <c r="B5" s="7">
        <v>65</v>
      </c>
      <c r="C5" s="41"/>
      <c r="D5" s="41"/>
      <c r="E5" s="42"/>
      <c r="F5" s="41"/>
      <c r="G5" s="41"/>
      <c r="H5" s="41"/>
      <c r="I5" s="42"/>
      <c r="J5" s="41"/>
      <c r="K5" s="12"/>
      <c r="L5" s="12">
        <f t="shared" ref="L5:L6" si="0">K5*B5</f>
        <v>0</v>
      </c>
      <c r="M5" s="13">
        <f>2*K5</f>
        <v>0</v>
      </c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6" t="s">
        <v>54</v>
      </c>
      <c r="B6" s="7">
        <v>100</v>
      </c>
      <c r="C6" s="38"/>
      <c r="D6" s="38"/>
      <c r="E6" s="39"/>
      <c r="F6" s="38"/>
      <c r="G6" s="38"/>
      <c r="H6" s="38"/>
      <c r="I6" s="39"/>
      <c r="J6" s="38"/>
      <c r="K6" s="12"/>
      <c r="L6" s="12">
        <f t="shared" si="0"/>
        <v>0</v>
      </c>
      <c r="M6" s="13">
        <f>0*K6</f>
        <v>0</v>
      </c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>
      <c r="A7" s="6" t="s">
        <v>55</v>
      </c>
      <c r="B7" s="7">
        <v>55</v>
      </c>
      <c r="C7" s="41"/>
      <c r="D7" s="41"/>
      <c r="E7" s="42"/>
      <c r="F7" s="41"/>
      <c r="G7" s="41"/>
      <c r="H7" s="41"/>
      <c r="I7" s="17"/>
      <c r="J7" s="14"/>
      <c r="K7" s="18"/>
      <c r="L7" s="12">
        <f>K7*B7+(15*I7+5*J7)</f>
        <v>0</v>
      </c>
      <c r="M7" s="13">
        <f>2*K7</f>
        <v>0</v>
      </c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>
      <c r="A8" s="6" t="s">
        <v>56</v>
      </c>
      <c r="B8" s="7">
        <v>9</v>
      </c>
      <c r="C8" s="38"/>
      <c r="D8" s="38"/>
      <c r="E8" s="39"/>
      <c r="F8" s="14"/>
      <c r="G8" s="20"/>
      <c r="H8" s="38"/>
      <c r="I8" s="17"/>
      <c r="J8" s="14"/>
      <c r="K8" s="12"/>
      <c r="L8" s="12">
        <f>K8*B8+(20*F8+25*G8+9*I8+1*J8)</f>
        <v>0</v>
      </c>
      <c r="M8" s="22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>
      <c r="A9" s="6" t="s">
        <v>57</v>
      </c>
      <c r="B9" s="7">
        <v>8</v>
      </c>
      <c r="C9" s="41"/>
      <c r="D9" s="41"/>
      <c r="E9" s="17"/>
      <c r="F9" s="41"/>
      <c r="G9" s="14"/>
      <c r="H9" s="41"/>
      <c r="I9" s="42"/>
      <c r="J9" s="41"/>
      <c r="K9" s="12"/>
      <c r="L9" s="12">
        <f>K9*B9+(1*E9+25*G9)</f>
        <v>0</v>
      </c>
      <c r="M9" s="22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>
      <c r="A10" s="6" t="s">
        <v>58</v>
      </c>
      <c r="B10" s="19">
        <v>9</v>
      </c>
      <c r="C10" s="39"/>
      <c r="D10" s="39"/>
      <c r="E10" s="39"/>
      <c r="F10" s="39"/>
      <c r="G10" s="17"/>
      <c r="H10" s="39"/>
      <c r="I10" s="39"/>
      <c r="J10" s="39"/>
      <c r="K10" s="18"/>
      <c r="L10" s="12">
        <f>K10*B10+(25*G10)</f>
        <v>0</v>
      </c>
      <c r="M10" s="22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>
      <c r="A11" s="6" t="s">
        <v>59</v>
      </c>
      <c r="B11" s="19">
        <v>8</v>
      </c>
      <c r="C11" s="41"/>
      <c r="D11" s="41"/>
      <c r="E11" s="42"/>
      <c r="F11" s="41"/>
      <c r="G11" s="41"/>
      <c r="H11" s="41"/>
      <c r="I11" s="42"/>
      <c r="J11" s="41"/>
      <c r="K11" s="18"/>
      <c r="L11" s="12">
        <f>K11*B11</f>
        <v>0</v>
      </c>
      <c r="M11" s="22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>
      <c r="A12" s="6" t="s">
        <v>60</v>
      </c>
      <c r="B12" s="19">
        <v>8</v>
      </c>
      <c r="C12" s="39"/>
      <c r="D12" s="39"/>
      <c r="E12" s="39"/>
      <c r="F12" s="17"/>
      <c r="G12" s="17"/>
      <c r="H12" s="39"/>
      <c r="I12" s="39"/>
      <c r="J12" s="39"/>
      <c r="K12" s="18"/>
      <c r="L12" s="12">
        <f>K12*B12+(20*F12+25*G12)</f>
        <v>0</v>
      </c>
      <c r="M12" s="22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>
      <c r="A13" s="6" t="s">
        <v>61</v>
      </c>
      <c r="B13" s="7">
        <v>24</v>
      </c>
      <c r="C13" s="41"/>
      <c r="D13" s="41"/>
      <c r="E13" s="42"/>
      <c r="F13" s="41"/>
      <c r="G13" s="41"/>
      <c r="H13" s="41"/>
      <c r="I13" s="42"/>
      <c r="J13" s="41"/>
      <c r="K13" s="12"/>
      <c r="L13" s="12">
        <f>K13*B13</f>
        <v>0</v>
      </c>
      <c r="M13" s="22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>
      <c r="A14" s="6" t="s">
        <v>62</v>
      </c>
      <c r="B14" s="19">
        <v>15</v>
      </c>
      <c r="C14" s="17"/>
      <c r="D14" s="17"/>
      <c r="E14" s="39"/>
      <c r="F14" s="39"/>
      <c r="G14" s="17"/>
      <c r="H14" s="39"/>
      <c r="I14" s="39"/>
      <c r="J14" s="39"/>
      <c r="K14" s="18"/>
      <c r="L14" s="12">
        <f>K14*B14+(1*C14+1*D14+25*G14)</f>
        <v>0</v>
      </c>
      <c r="M14" s="22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>
      <c r="A15" s="3"/>
      <c r="B15" s="35"/>
      <c r="C15" s="43"/>
      <c r="D15" s="43"/>
      <c r="E15" s="28"/>
      <c r="F15" s="43"/>
      <c r="G15" s="43"/>
      <c r="H15" s="43"/>
      <c r="I15" s="28"/>
      <c r="J15" s="43"/>
      <c r="K15" s="44"/>
      <c r="L15" s="35"/>
      <c r="M15" s="22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.75" thickBot="1">
      <c r="A16" s="3"/>
      <c r="B16" s="35"/>
      <c r="C16" s="43"/>
      <c r="D16" s="43"/>
      <c r="E16" s="28"/>
      <c r="F16" s="43"/>
      <c r="G16" s="43"/>
      <c r="H16" s="43"/>
      <c r="I16" s="28"/>
      <c r="J16" s="43"/>
      <c r="K16" s="27" t="s">
        <v>46</v>
      </c>
      <c r="L16" s="30" t="s">
        <v>47</v>
      </c>
      <c r="M16" s="30" t="s">
        <v>47</v>
      </c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thickBot="1">
      <c r="A17" s="3"/>
      <c r="B17" s="35"/>
      <c r="C17" s="43"/>
      <c r="D17" s="43"/>
      <c r="E17" s="28"/>
      <c r="F17" s="43"/>
      <c r="G17" s="43"/>
      <c r="H17" s="43"/>
      <c r="I17" s="28"/>
      <c r="J17" s="43"/>
      <c r="K17" s="31">
        <f>SUM(K2:K14)</f>
        <v>0</v>
      </c>
      <c r="L17" s="32">
        <f>SUM(L2:L14)</f>
        <v>0</v>
      </c>
      <c r="M17" s="33">
        <f>SUM(M2:M7)</f>
        <v>0</v>
      </c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>
      <c r="A18" s="3"/>
      <c r="B18" s="35"/>
      <c r="C18" s="28"/>
      <c r="D18" s="28"/>
      <c r="E18" s="28"/>
      <c r="F18" s="28"/>
      <c r="G18" s="28"/>
      <c r="H18" s="28"/>
      <c r="I18" s="28"/>
      <c r="J18" s="28"/>
      <c r="K18" s="27"/>
      <c r="L18" s="34"/>
      <c r="M18" s="22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>
      <c r="A19" s="3"/>
      <c r="B19" s="35"/>
      <c r="C19" s="43"/>
      <c r="D19" s="43"/>
      <c r="E19" s="28"/>
      <c r="F19" s="43"/>
      <c r="G19" s="43"/>
      <c r="H19" s="43"/>
      <c r="I19" s="28"/>
      <c r="J19" s="43"/>
      <c r="K19" s="27" t="s">
        <v>1</v>
      </c>
      <c r="L19" s="36"/>
      <c r="M19" s="22"/>
      <c r="N19" s="1"/>
      <c r="O19" s="1"/>
      <c r="P19" s="1"/>
      <c r="Q19" s="28"/>
      <c r="R19" s="28"/>
      <c r="S19" s="1"/>
      <c r="T19" s="1"/>
      <c r="U19" s="1"/>
      <c r="V19" s="1"/>
      <c r="W19" s="28"/>
    </row>
    <row r="20" spans="1:23">
      <c r="A20" s="3"/>
      <c r="B20" s="35"/>
      <c r="C20" s="28"/>
      <c r="D20" s="28"/>
      <c r="E20" s="28"/>
      <c r="F20" s="28"/>
      <c r="G20" s="28"/>
      <c r="H20" s="28"/>
      <c r="I20" s="28"/>
      <c r="J20" s="28"/>
      <c r="K20" s="37">
        <f>ROUNDUP(K17/3,0)</f>
        <v>0</v>
      </c>
      <c r="L20" s="36"/>
      <c r="M20" s="22"/>
      <c r="N20" s="1"/>
      <c r="O20" s="1"/>
      <c r="P20" s="1"/>
      <c r="Q20" s="28"/>
      <c r="R20" s="28"/>
      <c r="S20" s="1"/>
      <c r="T20" s="1"/>
      <c r="U20" s="1"/>
      <c r="V20" s="1"/>
      <c r="W20" s="28"/>
    </row>
    <row r="21" spans="1:23">
      <c r="A21" s="3"/>
      <c r="B21" s="35"/>
      <c r="C21" s="43"/>
      <c r="D21" s="43"/>
      <c r="E21" s="28"/>
      <c r="F21" s="28"/>
      <c r="G21" s="28"/>
      <c r="H21" s="43"/>
      <c r="I21" s="43"/>
      <c r="J21" s="43"/>
      <c r="K21" s="28"/>
      <c r="L21" s="43"/>
      <c r="M21" s="22"/>
      <c r="N21" s="1"/>
      <c r="O21" s="1"/>
      <c r="P21" s="1"/>
      <c r="Q21" s="28"/>
      <c r="R21" s="28"/>
      <c r="S21" s="1"/>
      <c r="T21" s="1"/>
      <c r="U21" s="1"/>
      <c r="V21" s="1"/>
      <c r="W21" s="28"/>
    </row>
    <row r="22" spans="1:23">
      <c r="A22" s="2"/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2"/>
      <c r="N22" s="1"/>
      <c r="O22" s="1"/>
      <c r="P22" s="1"/>
      <c r="Q22" s="28"/>
      <c r="R22" s="28"/>
      <c r="S22" s="1"/>
      <c r="T22" s="1"/>
      <c r="U22" s="1"/>
      <c r="V22" s="1"/>
      <c r="W22" s="28"/>
    </row>
    <row r="23" spans="1:23">
      <c r="A23" s="2"/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2"/>
      <c r="N23" s="1"/>
      <c r="O23" s="1"/>
      <c r="P23" s="1"/>
      <c r="Q23" s="28"/>
      <c r="R23" s="28"/>
      <c r="S23" s="1"/>
      <c r="T23" s="1"/>
      <c r="U23" s="1"/>
      <c r="V23" s="1"/>
      <c r="W23" s="28"/>
    </row>
    <row r="24" spans="1:23">
      <c r="A24" s="2"/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2"/>
      <c r="N24" s="1"/>
      <c r="O24" s="1"/>
      <c r="P24" s="1"/>
      <c r="Q24" s="1"/>
      <c r="R24" s="1"/>
      <c r="S24" s="28"/>
      <c r="T24" s="1"/>
      <c r="U24" s="1"/>
      <c r="V24" s="28"/>
      <c r="W24" s="1"/>
    </row>
    <row r="25" spans="1:23">
      <c r="A25" s="2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2"/>
      <c r="N25" s="1"/>
      <c r="O25" s="1"/>
      <c r="P25" s="1"/>
      <c r="Q25" s="28"/>
      <c r="R25" s="28"/>
      <c r="S25" s="28"/>
      <c r="T25" s="1"/>
      <c r="U25" s="1"/>
      <c r="V25" s="28"/>
      <c r="W25" s="1"/>
    </row>
    <row r="26" spans="1:23">
      <c r="A26" s="2"/>
      <c r="B26" s="35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2"/>
      <c r="N26" s="1"/>
      <c r="O26" s="1"/>
      <c r="P26" s="1"/>
      <c r="Q26" s="28"/>
      <c r="R26" s="28"/>
      <c r="S26" s="28"/>
      <c r="T26" s="1"/>
      <c r="U26" s="1"/>
      <c r="V26" s="28"/>
      <c r="W26" s="1"/>
    </row>
    <row r="27" spans="1:23">
      <c r="A27" s="2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2"/>
      <c r="N27" s="1"/>
      <c r="O27" s="1"/>
      <c r="P27" s="1"/>
      <c r="Q27" s="28"/>
      <c r="R27" s="28"/>
      <c r="S27" s="28"/>
      <c r="T27" s="1"/>
      <c r="U27" s="1"/>
      <c r="V27" s="28"/>
      <c r="W27" s="1"/>
    </row>
    <row r="28" spans="1:2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22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2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2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22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22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22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22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2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2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hyperlinks>
    <hyperlink ref="A1" location="'Fuerzas de la Luz'!A1" display="Reinos de los hombres: Los Feudos"/>
  </hyperlinks>
  <pageMargins left="0.7" right="0.7" top="0.75" bottom="0.75" header="0.3" footer="0.3"/>
  <ignoredErrors>
    <ignoredError sqref="L12 M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Z42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17" width="3.28515625" customWidth="1"/>
    <col min="18" max="20" width="9.7109375" customWidth="1"/>
  </cols>
  <sheetData>
    <row r="1" spans="1:26" ht="170.1" customHeight="1">
      <c r="A1" s="175" t="s">
        <v>63</v>
      </c>
      <c r="B1" s="4" t="s">
        <v>3</v>
      </c>
      <c r="C1" s="5" t="s">
        <v>4</v>
      </c>
      <c r="D1" s="5" t="s">
        <v>5</v>
      </c>
      <c r="E1" s="5" t="s">
        <v>64</v>
      </c>
      <c r="F1" s="5" t="s">
        <v>65</v>
      </c>
      <c r="G1" s="5" t="s">
        <v>66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67</v>
      </c>
      <c r="N1" s="5" t="s">
        <v>14</v>
      </c>
      <c r="O1" s="5" t="s">
        <v>68</v>
      </c>
      <c r="P1" s="5" t="s">
        <v>17</v>
      </c>
      <c r="Q1" s="5" t="s">
        <v>69</v>
      </c>
      <c r="R1" s="5" t="s">
        <v>24</v>
      </c>
      <c r="S1" s="5" t="s">
        <v>0</v>
      </c>
      <c r="T1" s="5" t="s">
        <v>25</v>
      </c>
      <c r="U1" s="1"/>
      <c r="V1" s="1"/>
      <c r="W1" s="1"/>
      <c r="X1" s="1"/>
      <c r="Y1" s="1"/>
      <c r="Z1" s="1"/>
    </row>
    <row r="2" spans="1:26">
      <c r="A2" s="6" t="s">
        <v>70</v>
      </c>
      <c r="B2" s="7">
        <v>65</v>
      </c>
      <c r="C2" s="45"/>
      <c r="D2" s="46"/>
      <c r="E2" s="47"/>
      <c r="F2" s="47"/>
      <c r="G2" s="47"/>
      <c r="H2" s="47"/>
      <c r="I2" s="47"/>
      <c r="J2" s="45"/>
      <c r="K2" s="48"/>
      <c r="L2" s="46"/>
      <c r="M2" s="47"/>
      <c r="N2" s="48"/>
      <c r="O2" s="46"/>
      <c r="P2" s="46"/>
      <c r="Q2" s="46"/>
      <c r="R2" s="7"/>
      <c r="S2" s="12">
        <f>R2*B2+(5*C2+10*J2+15*K2+5*N2)</f>
        <v>0</v>
      </c>
      <c r="T2" s="13">
        <f>2*R2</f>
        <v>0</v>
      </c>
      <c r="U2" s="1"/>
      <c r="V2" s="1"/>
      <c r="W2" s="1"/>
      <c r="X2" s="1"/>
      <c r="Y2" s="1"/>
      <c r="Z2" s="1"/>
    </row>
    <row r="3" spans="1:26">
      <c r="A3" s="6" t="s">
        <v>71</v>
      </c>
      <c r="B3" s="7">
        <v>70</v>
      </c>
      <c r="C3" s="48"/>
      <c r="D3" s="48"/>
      <c r="E3" s="37"/>
      <c r="F3" s="49"/>
      <c r="G3" s="49"/>
      <c r="H3" s="49"/>
      <c r="I3" s="49"/>
      <c r="J3" s="48"/>
      <c r="K3" s="50"/>
      <c r="L3" s="50"/>
      <c r="M3" s="49"/>
      <c r="N3" s="50"/>
      <c r="O3" s="50"/>
      <c r="P3" s="50"/>
      <c r="Q3" s="50"/>
      <c r="R3" s="7"/>
      <c r="S3" s="12">
        <f>R3*B3+(5*C3+5*D3+5*E3+10*J3)</f>
        <v>0</v>
      </c>
      <c r="T3" s="13">
        <f>3*R3</f>
        <v>0</v>
      </c>
      <c r="U3" s="1"/>
      <c r="V3" s="1"/>
      <c r="W3" s="1"/>
      <c r="X3" s="1"/>
      <c r="Y3" s="1"/>
      <c r="Z3" s="1"/>
    </row>
    <row r="4" spans="1:26">
      <c r="A4" s="6" t="s">
        <v>72</v>
      </c>
      <c r="B4" s="7">
        <v>50</v>
      </c>
      <c r="C4" s="46"/>
      <c r="D4" s="46"/>
      <c r="E4" s="47"/>
      <c r="F4" s="47"/>
      <c r="G4" s="47"/>
      <c r="H4" s="47"/>
      <c r="I4" s="47"/>
      <c r="J4" s="45"/>
      <c r="K4" s="46"/>
      <c r="L4" s="46"/>
      <c r="M4" s="47"/>
      <c r="N4" s="46"/>
      <c r="O4" s="46"/>
      <c r="P4" s="46"/>
      <c r="Q4" s="46"/>
      <c r="R4" s="12"/>
      <c r="S4" s="12">
        <f>R4*B4+(10*J4)</f>
        <v>0</v>
      </c>
      <c r="T4" s="13">
        <f>2*R4</f>
        <v>0</v>
      </c>
      <c r="U4" s="1"/>
      <c r="V4" s="1"/>
      <c r="W4" s="1"/>
      <c r="X4" s="1"/>
      <c r="Y4" s="1"/>
      <c r="Z4" s="1"/>
    </row>
    <row r="5" spans="1:26">
      <c r="A5" s="6" t="s">
        <v>73</v>
      </c>
      <c r="B5" s="7">
        <v>75</v>
      </c>
      <c r="C5" s="48"/>
      <c r="D5" s="48"/>
      <c r="E5" s="37"/>
      <c r="F5" s="49"/>
      <c r="G5" s="49"/>
      <c r="H5" s="49"/>
      <c r="I5" s="49"/>
      <c r="J5" s="48"/>
      <c r="K5" s="50"/>
      <c r="L5" s="50"/>
      <c r="M5" s="49"/>
      <c r="N5" s="50"/>
      <c r="O5" s="50"/>
      <c r="P5" s="50"/>
      <c r="Q5" s="50"/>
      <c r="R5" s="12"/>
      <c r="S5" s="12">
        <f>R5*B5+(5*C5+5*D5+5*E5+10*J5)</f>
        <v>0</v>
      </c>
      <c r="T5" s="13">
        <f>3*R5</f>
        <v>0</v>
      </c>
      <c r="U5" s="1"/>
      <c r="V5" s="1"/>
      <c r="W5" s="1"/>
      <c r="X5" s="1"/>
      <c r="Y5" s="1"/>
      <c r="Z5" s="1"/>
    </row>
    <row r="6" spans="1:26">
      <c r="A6" s="6" t="s">
        <v>74</v>
      </c>
      <c r="B6" s="7">
        <v>115</v>
      </c>
      <c r="C6" s="46"/>
      <c r="D6" s="46"/>
      <c r="E6" s="47"/>
      <c r="F6" s="47"/>
      <c r="G6" s="47"/>
      <c r="H6" s="47"/>
      <c r="I6" s="47"/>
      <c r="J6" s="46"/>
      <c r="K6" s="48"/>
      <c r="L6" s="46"/>
      <c r="M6" s="47"/>
      <c r="N6" s="46"/>
      <c r="O6" s="46"/>
      <c r="P6" s="46"/>
      <c r="Q6" s="46"/>
      <c r="R6" s="12"/>
      <c r="S6" s="12">
        <f>R6*B6+(15*K6)</f>
        <v>0</v>
      </c>
      <c r="T6" s="13">
        <f>3*R6</f>
        <v>0</v>
      </c>
      <c r="U6" s="1"/>
      <c r="V6" s="1"/>
      <c r="W6" s="1"/>
      <c r="X6" s="1"/>
      <c r="Y6" s="1"/>
      <c r="Z6" s="1"/>
    </row>
    <row r="7" spans="1:26">
      <c r="A7" s="6" t="s">
        <v>75</v>
      </c>
      <c r="B7" s="7">
        <v>30</v>
      </c>
      <c r="C7" s="48"/>
      <c r="D7" s="50"/>
      <c r="E7" s="37"/>
      <c r="F7" s="49"/>
      <c r="G7" s="49"/>
      <c r="H7" s="49"/>
      <c r="I7" s="49"/>
      <c r="J7" s="48"/>
      <c r="K7" s="50"/>
      <c r="L7" s="50"/>
      <c r="M7" s="37"/>
      <c r="N7" s="50"/>
      <c r="O7" s="50"/>
      <c r="P7" s="50"/>
      <c r="Q7" s="50"/>
      <c r="R7" s="18"/>
      <c r="S7" s="12">
        <f>R7*B7+(5*C7+5*E7+6*J7+5*M7)</f>
        <v>0</v>
      </c>
      <c r="T7" s="13">
        <f>2*R7</f>
        <v>0</v>
      </c>
      <c r="U7" s="1"/>
      <c r="V7" s="1"/>
      <c r="W7" s="1"/>
      <c r="X7" s="1"/>
      <c r="Y7" s="1"/>
      <c r="Z7" s="1"/>
    </row>
    <row r="8" spans="1:26">
      <c r="A8" s="6" t="s">
        <v>76</v>
      </c>
      <c r="B8" s="7">
        <v>55</v>
      </c>
      <c r="C8" s="46"/>
      <c r="D8" s="46"/>
      <c r="E8" s="47"/>
      <c r="F8" s="47"/>
      <c r="G8" s="47"/>
      <c r="H8" s="47"/>
      <c r="I8" s="47"/>
      <c r="J8" s="46"/>
      <c r="K8" s="46"/>
      <c r="L8" s="46"/>
      <c r="M8" s="47"/>
      <c r="N8" s="46"/>
      <c r="O8" s="46"/>
      <c r="P8" s="46"/>
      <c r="Q8" s="46"/>
      <c r="R8" s="12"/>
      <c r="S8" s="12">
        <f>R8*B8</f>
        <v>0</v>
      </c>
      <c r="T8" s="13">
        <f>2*R8</f>
        <v>0</v>
      </c>
      <c r="U8" s="1"/>
      <c r="V8" s="1"/>
      <c r="W8" s="1"/>
      <c r="X8" s="1"/>
      <c r="Y8" s="1"/>
      <c r="Z8" s="1"/>
    </row>
    <row r="9" spans="1:26">
      <c r="A9" s="6" t="s">
        <v>77</v>
      </c>
      <c r="B9" s="7">
        <v>25</v>
      </c>
      <c r="C9" s="48"/>
      <c r="D9" s="50"/>
      <c r="E9" s="49"/>
      <c r="F9" s="49"/>
      <c r="G9" s="49"/>
      <c r="H9" s="49"/>
      <c r="I9" s="49"/>
      <c r="J9" s="50"/>
      <c r="K9" s="50"/>
      <c r="L9" s="48"/>
      <c r="M9" s="49"/>
      <c r="N9" s="50"/>
      <c r="O9" s="50"/>
      <c r="P9" s="48"/>
      <c r="Q9" s="48"/>
      <c r="R9" s="12"/>
      <c r="S9" s="12">
        <f>R9*B9+(5*C9+5*L9+10*P9+20*Q9)</f>
        <v>0</v>
      </c>
      <c r="T9" s="13">
        <f>1*R9</f>
        <v>0</v>
      </c>
      <c r="U9" s="1"/>
      <c r="V9" s="1"/>
      <c r="W9" s="1"/>
      <c r="X9" s="1"/>
      <c r="Y9" s="1"/>
      <c r="Z9" s="1"/>
    </row>
    <row r="10" spans="1:26">
      <c r="A10" s="6" t="s">
        <v>78</v>
      </c>
      <c r="B10" s="19">
        <v>50</v>
      </c>
      <c r="C10" s="46"/>
      <c r="D10" s="46"/>
      <c r="E10" s="47"/>
      <c r="F10" s="47"/>
      <c r="G10" s="47"/>
      <c r="H10" s="47"/>
      <c r="I10" s="47"/>
      <c r="J10" s="48"/>
      <c r="K10" s="46"/>
      <c r="L10" s="46"/>
      <c r="M10" s="47"/>
      <c r="N10" s="46"/>
      <c r="O10" s="48"/>
      <c r="P10" s="46"/>
      <c r="Q10" s="46"/>
      <c r="R10" s="18"/>
      <c r="S10" s="12">
        <f>R10*B10+(10*J10+50*O10)</f>
        <v>0</v>
      </c>
      <c r="T10" s="13">
        <f>2*R10</f>
        <v>0</v>
      </c>
      <c r="U10" s="1"/>
      <c r="V10" s="1"/>
      <c r="W10" s="1"/>
      <c r="X10" s="1"/>
      <c r="Y10" s="1"/>
      <c r="Z10" s="1"/>
    </row>
    <row r="11" spans="1:26">
      <c r="A11" s="6" t="s">
        <v>79</v>
      </c>
      <c r="B11" s="19">
        <v>65</v>
      </c>
      <c r="C11" s="50"/>
      <c r="D11" s="50"/>
      <c r="E11" s="49"/>
      <c r="F11" s="49"/>
      <c r="G11" s="49"/>
      <c r="H11" s="49"/>
      <c r="I11" s="49"/>
      <c r="J11" s="45"/>
      <c r="K11" s="50"/>
      <c r="L11" s="50"/>
      <c r="M11" s="49"/>
      <c r="N11" s="50"/>
      <c r="O11" s="50"/>
      <c r="P11" s="50"/>
      <c r="Q11" s="50"/>
      <c r="R11" s="18"/>
      <c r="S11" s="12">
        <f>R11*B11+(10*J11)</f>
        <v>0</v>
      </c>
      <c r="T11" s="13">
        <f>3*R11</f>
        <v>0</v>
      </c>
      <c r="U11" s="1"/>
      <c r="V11" s="1"/>
      <c r="W11" s="1"/>
      <c r="X11" s="1"/>
      <c r="Y11" s="1"/>
      <c r="Z11" s="1"/>
    </row>
    <row r="12" spans="1:26">
      <c r="A12" s="6" t="s">
        <v>80</v>
      </c>
      <c r="B12" s="19">
        <v>45</v>
      </c>
      <c r="C12" s="48"/>
      <c r="D12" s="48"/>
      <c r="E12" s="37"/>
      <c r="F12" s="47"/>
      <c r="G12" s="47"/>
      <c r="H12" s="47"/>
      <c r="I12" s="47"/>
      <c r="J12" s="48"/>
      <c r="K12" s="46"/>
      <c r="L12" s="46"/>
      <c r="M12" s="47"/>
      <c r="N12" s="48"/>
      <c r="O12" s="46"/>
      <c r="P12" s="46"/>
      <c r="Q12" s="46"/>
      <c r="R12" s="18"/>
      <c r="S12" s="12">
        <f>R12*B12+(5*C12+5*D12+5*E12+10*J12+5*N12)</f>
        <v>0</v>
      </c>
      <c r="T12" s="13">
        <f>2*R12</f>
        <v>0</v>
      </c>
      <c r="U12" s="1"/>
      <c r="V12" s="1"/>
      <c r="W12" s="1"/>
      <c r="X12" s="1"/>
      <c r="Y12" s="1"/>
      <c r="Z12" s="1"/>
    </row>
    <row r="13" spans="1:26">
      <c r="A13" s="6" t="s">
        <v>81</v>
      </c>
      <c r="B13" s="7">
        <v>50</v>
      </c>
      <c r="C13" s="50"/>
      <c r="D13" s="50"/>
      <c r="E13" s="49"/>
      <c r="F13" s="49"/>
      <c r="G13" s="49"/>
      <c r="H13" s="49"/>
      <c r="I13" s="49"/>
      <c r="J13" s="50"/>
      <c r="K13" s="50"/>
      <c r="L13" s="50"/>
      <c r="M13" s="49"/>
      <c r="N13" s="50"/>
      <c r="O13" s="50"/>
      <c r="P13" s="50"/>
      <c r="Q13" s="50"/>
      <c r="R13" s="12"/>
      <c r="S13" s="12">
        <f>R13*B13</f>
        <v>0</v>
      </c>
      <c r="T13" s="13">
        <f>2*R13</f>
        <v>0</v>
      </c>
      <c r="U13" s="1"/>
      <c r="V13" s="1"/>
      <c r="W13" s="1"/>
      <c r="X13" s="1"/>
      <c r="Y13" s="1"/>
      <c r="Z13" s="1"/>
    </row>
    <row r="14" spans="1:26">
      <c r="A14" s="6" t="s">
        <v>82</v>
      </c>
      <c r="B14" s="19">
        <v>90</v>
      </c>
      <c r="C14" s="46"/>
      <c r="D14" s="46"/>
      <c r="E14" s="47"/>
      <c r="F14" s="47"/>
      <c r="G14" s="47"/>
      <c r="H14" s="47"/>
      <c r="I14" s="47"/>
      <c r="J14" s="46"/>
      <c r="K14" s="46"/>
      <c r="L14" s="46"/>
      <c r="M14" s="47"/>
      <c r="N14" s="46"/>
      <c r="O14" s="46"/>
      <c r="P14" s="46"/>
      <c r="Q14" s="46"/>
      <c r="R14" s="18"/>
      <c r="S14" s="12">
        <f>R14*B14</f>
        <v>0</v>
      </c>
      <c r="T14" s="13">
        <f>3*R14</f>
        <v>0</v>
      </c>
      <c r="U14" s="1"/>
      <c r="V14" s="1"/>
      <c r="W14" s="1"/>
      <c r="X14" s="1"/>
      <c r="Y14" s="1"/>
      <c r="Z14" s="1"/>
    </row>
    <row r="15" spans="1:26">
      <c r="A15" s="6" t="s">
        <v>83</v>
      </c>
      <c r="B15" s="19">
        <v>13</v>
      </c>
      <c r="C15" s="50"/>
      <c r="D15" s="50"/>
      <c r="E15" s="37"/>
      <c r="F15" s="49"/>
      <c r="G15" s="37"/>
      <c r="H15" s="37"/>
      <c r="I15" s="37"/>
      <c r="J15" s="50"/>
      <c r="K15" s="50"/>
      <c r="L15" s="50"/>
      <c r="M15" s="49"/>
      <c r="N15" s="50"/>
      <c r="O15" s="50"/>
      <c r="P15" s="50"/>
      <c r="Q15" s="50"/>
      <c r="R15" s="18"/>
      <c r="S15" s="12">
        <f>R15*B15+(2*E15+1*G15+20*H15+25*I15)</f>
        <v>0</v>
      </c>
      <c r="T15" s="22"/>
      <c r="U15" s="1"/>
      <c r="V15" s="1"/>
      <c r="W15" s="1"/>
      <c r="X15" s="1"/>
      <c r="Y15" s="1"/>
      <c r="Z15" s="1"/>
    </row>
    <row r="16" spans="1:26">
      <c r="A16" s="6" t="s">
        <v>84</v>
      </c>
      <c r="B16" s="7">
        <v>7</v>
      </c>
      <c r="C16" s="46"/>
      <c r="D16" s="46"/>
      <c r="E16" s="47"/>
      <c r="F16" s="47"/>
      <c r="G16" s="47"/>
      <c r="H16" s="47"/>
      <c r="I16" s="47"/>
      <c r="J16" s="45"/>
      <c r="K16" s="46"/>
      <c r="L16" s="46"/>
      <c r="M16" s="47"/>
      <c r="N16" s="46"/>
      <c r="O16" s="46"/>
      <c r="P16" s="46"/>
      <c r="Q16" s="46"/>
      <c r="R16" s="12"/>
      <c r="S16" s="12">
        <f>R16*B16+(6*J16)</f>
        <v>0</v>
      </c>
      <c r="T16" s="22"/>
      <c r="U16" s="1"/>
      <c r="V16" s="1"/>
      <c r="W16" s="1"/>
      <c r="X16" s="1"/>
      <c r="Y16" s="1"/>
      <c r="Z16" s="1"/>
    </row>
    <row r="17" spans="1:26">
      <c r="A17" s="6" t="s">
        <v>85</v>
      </c>
      <c r="B17" s="7">
        <v>10</v>
      </c>
      <c r="C17" s="50"/>
      <c r="D17" s="50"/>
      <c r="E17" s="37"/>
      <c r="F17" s="49"/>
      <c r="G17" s="49"/>
      <c r="H17" s="49"/>
      <c r="I17" s="37"/>
      <c r="J17" s="48"/>
      <c r="K17" s="50"/>
      <c r="L17" s="50"/>
      <c r="M17" s="49"/>
      <c r="N17" s="50"/>
      <c r="O17" s="50"/>
      <c r="P17" s="50"/>
      <c r="Q17" s="50"/>
      <c r="R17" s="12"/>
      <c r="S17" s="12">
        <f>R17*B17+(2*E17+25*I17+6*J17)</f>
        <v>0</v>
      </c>
      <c r="T17" s="22"/>
      <c r="U17" s="1"/>
      <c r="V17" s="1"/>
      <c r="W17" s="1"/>
      <c r="X17" s="1"/>
      <c r="Y17" s="1"/>
      <c r="Z17" s="1"/>
    </row>
    <row r="18" spans="1:26">
      <c r="A18" s="6" t="s">
        <v>86</v>
      </c>
      <c r="B18" s="19">
        <v>22</v>
      </c>
      <c r="C18" s="46"/>
      <c r="D18" s="46"/>
      <c r="E18" s="47"/>
      <c r="F18" s="47"/>
      <c r="G18" s="47"/>
      <c r="H18" s="47"/>
      <c r="I18" s="47"/>
      <c r="J18" s="46"/>
      <c r="K18" s="46"/>
      <c r="L18" s="46"/>
      <c r="M18" s="47"/>
      <c r="N18" s="46"/>
      <c r="O18" s="46"/>
      <c r="P18" s="46"/>
      <c r="Q18" s="46"/>
      <c r="R18" s="19"/>
      <c r="S18" s="12">
        <f>R18*B18</f>
        <v>0</v>
      </c>
      <c r="T18" s="22"/>
      <c r="U18" s="1"/>
      <c r="V18" s="1"/>
      <c r="W18" s="1"/>
      <c r="X18" s="1"/>
      <c r="Y18" s="1"/>
      <c r="Z18" s="1"/>
    </row>
    <row r="19" spans="1:26">
      <c r="A19" s="23" t="s">
        <v>87</v>
      </c>
      <c r="B19" s="19">
        <v>6</v>
      </c>
      <c r="C19" s="48"/>
      <c r="D19" s="48"/>
      <c r="E19" s="37"/>
      <c r="F19" s="37"/>
      <c r="G19" s="49"/>
      <c r="H19" s="37"/>
      <c r="I19" s="37"/>
      <c r="J19" s="50"/>
      <c r="K19" s="50"/>
      <c r="L19" s="50"/>
      <c r="M19" s="49"/>
      <c r="N19" s="50"/>
      <c r="O19" s="50"/>
      <c r="P19" s="50"/>
      <c r="Q19" s="50"/>
      <c r="R19" s="18"/>
      <c r="S19" s="12">
        <f>R19*B19+(1*C19+1*D19+2*E19+1*F19+20*H19+25*I19)</f>
        <v>0</v>
      </c>
      <c r="T19" s="22"/>
      <c r="U19" s="1"/>
      <c r="V19" s="1"/>
      <c r="W19" s="1"/>
      <c r="X19" s="1"/>
      <c r="Y19" s="1"/>
      <c r="Z19" s="1"/>
    </row>
    <row r="20" spans="1:26">
      <c r="A20" s="3"/>
      <c r="B20" s="35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22"/>
      <c r="Q20" s="22"/>
      <c r="R20" s="29"/>
      <c r="S20" s="27"/>
      <c r="T20" s="22"/>
      <c r="U20" s="1"/>
      <c r="V20" s="1"/>
      <c r="W20" s="1"/>
      <c r="X20" s="1"/>
      <c r="Y20" s="1"/>
      <c r="Z20" s="1"/>
    </row>
    <row r="21" spans="1:26" ht="15.75" thickBot="1">
      <c r="A21" s="3"/>
      <c r="B21" s="35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22"/>
      <c r="Q21" s="22"/>
      <c r="R21" s="27" t="s">
        <v>46</v>
      </c>
      <c r="S21" s="30" t="s">
        <v>47</v>
      </c>
      <c r="T21" s="30" t="s">
        <v>47</v>
      </c>
      <c r="U21" s="1"/>
      <c r="V21" s="1"/>
      <c r="W21" s="1"/>
      <c r="X21" s="1"/>
      <c r="Y21" s="1"/>
      <c r="Z21" s="1"/>
    </row>
    <row r="22" spans="1:26" ht="15.75" thickBot="1">
      <c r="A22" s="2"/>
      <c r="B22" s="27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22"/>
      <c r="N22" s="22"/>
      <c r="O22" s="22"/>
      <c r="P22" s="22"/>
      <c r="Q22" s="22"/>
      <c r="R22" s="31">
        <f>SUM(R2:R19)</f>
        <v>0</v>
      </c>
      <c r="S22" s="32">
        <f>SUM(S2:S19)</f>
        <v>0</v>
      </c>
      <c r="T22" s="33">
        <f>SUM(T2:T14)</f>
        <v>0</v>
      </c>
      <c r="U22" s="1"/>
      <c r="V22" s="1"/>
      <c r="W22" s="1"/>
      <c r="X22" s="1"/>
      <c r="Y22" s="1"/>
      <c r="Z22" s="1"/>
    </row>
    <row r="23" spans="1:26">
      <c r="A23" s="2"/>
      <c r="B23" s="27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22"/>
      <c r="N23" s="22"/>
      <c r="O23" s="22"/>
      <c r="P23" s="22"/>
      <c r="Q23" s="22"/>
      <c r="R23" s="27"/>
      <c r="S23" s="12"/>
      <c r="T23" s="22"/>
      <c r="U23" s="1"/>
      <c r="V23" s="1"/>
      <c r="W23" s="1"/>
      <c r="X23" s="1"/>
      <c r="Y23" s="1"/>
      <c r="Z23" s="1"/>
    </row>
    <row r="24" spans="1:26">
      <c r="A24" s="2"/>
      <c r="B24" s="27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22"/>
      <c r="N24" s="22"/>
      <c r="O24" s="22"/>
      <c r="P24" s="22"/>
      <c r="Q24" s="22"/>
      <c r="R24" s="27" t="s">
        <v>1</v>
      </c>
      <c r="S24" s="29"/>
      <c r="T24" s="22"/>
      <c r="U24" s="1"/>
      <c r="V24" s="1"/>
      <c r="W24" s="1"/>
      <c r="X24" s="1"/>
      <c r="Y24" s="1"/>
      <c r="Z24" s="1"/>
    </row>
    <row r="25" spans="1:26">
      <c r="A25" s="2"/>
      <c r="B25" s="27"/>
      <c r="C25" s="44"/>
      <c r="D25" s="44"/>
      <c r="E25" s="44"/>
      <c r="F25" s="44"/>
      <c r="G25" s="44"/>
      <c r="H25" s="51"/>
      <c r="I25" s="44"/>
      <c r="J25" s="44"/>
      <c r="K25" s="44"/>
      <c r="L25" s="44"/>
      <c r="M25" s="22"/>
      <c r="N25" s="22"/>
      <c r="O25" s="22"/>
      <c r="P25" s="22"/>
      <c r="Q25" s="22"/>
      <c r="R25" s="37">
        <f>ROUNDUP(R22/3,0)</f>
        <v>0</v>
      </c>
      <c r="S25" s="29"/>
      <c r="T25" s="22"/>
      <c r="U25" s="1"/>
      <c r="V25" s="1"/>
      <c r="W25" s="1"/>
      <c r="X25" s="1"/>
      <c r="Y25" s="1"/>
      <c r="Z25" s="1"/>
    </row>
    <row r="26" spans="1:26">
      <c r="A26" s="2"/>
      <c r="B26" s="35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1"/>
      <c r="N26" s="1"/>
      <c r="O26" s="1"/>
      <c r="P26" s="1"/>
      <c r="Q26" s="1"/>
      <c r="R26" s="28"/>
      <c r="S26" s="28"/>
      <c r="T26" s="22"/>
      <c r="U26" s="1"/>
      <c r="V26" s="1"/>
      <c r="W26" s="1"/>
      <c r="X26" s="1"/>
      <c r="Y26" s="1"/>
      <c r="Z26" s="1"/>
    </row>
    <row r="27" spans="1:26">
      <c r="A27" s="2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1"/>
      <c r="N27" s="1"/>
      <c r="O27" s="1"/>
      <c r="P27" s="1"/>
      <c r="Q27" s="1"/>
      <c r="R27" s="28"/>
      <c r="S27" s="28"/>
      <c r="T27" s="22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2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2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2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2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2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2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2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2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2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2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2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2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2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2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2"/>
      <c r="U42" s="1"/>
      <c r="V42" s="1"/>
      <c r="W42" s="1"/>
      <c r="X42" s="1"/>
      <c r="Y42" s="1"/>
      <c r="Z42" s="1"/>
    </row>
  </sheetData>
  <hyperlinks>
    <hyperlink ref="A1" location="'Fuerzas de la Luz'!A1" display="Reinos de los hombres: Rohan"/>
  </hyperlinks>
  <pageMargins left="0.7" right="0.7" top="0.75" bottom="0.75" header="0.3" footer="0.3"/>
  <ignoredErrors>
    <ignoredError sqref="S4:T4 T3 T9 T1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10" width="3.28515625" customWidth="1"/>
    <col min="11" max="11" width="4.28515625" customWidth="1"/>
    <col min="12" max="14" width="9.7109375" customWidth="1"/>
  </cols>
  <sheetData>
    <row r="1" spans="1:22" ht="170.1" customHeight="1">
      <c r="A1" s="175" t="s">
        <v>88</v>
      </c>
      <c r="B1" s="4" t="s">
        <v>3</v>
      </c>
      <c r="C1" s="5" t="s">
        <v>7</v>
      </c>
      <c r="D1" s="5" t="s">
        <v>5</v>
      </c>
      <c r="E1" s="5" t="s">
        <v>4</v>
      </c>
      <c r="F1" s="5" t="s">
        <v>10</v>
      </c>
      <c r="G1" s="5" t="s">
        <v>11</v>
      </c>
      <c r="H1" s="5" t="s">
        <v>17</v>
      </c>
      <c r="I1" s="5" t="s">
        <v>89</v>
      </c>
      <c r="J1" s="5" t="s">
        <v>14</v>
      </c>
      <c r="K1" s="5" t="s">
        <v>90</v>
      </c>
      <c r="L1" s="5" t="s">
        <v>24</v>
      </c>
      <c r="M1" s="5" t="s">
        <v>0</v>
      </c>
      <c r="N1" s="5" t="s">
        <v>25</v>
      </c>
      <c r="O1" s="52"/>
      <c r="P1" s="52"/>
      <c r="Q1" s="52"/>
      <c r="R1" s="52"/>
      <c r="S1" s="52"/>
      <c r="T1" s="52"/>
      <c r="U1" s="52"/>
      <c r="V1" s="52"/>
    </row>
    <row r="2" spans="1:22">
      <c r="A2" s="6" t="s">
        <v>91</v>
      </c>
      <c r="B2" s="7">
        <v>70</v>
      </c>
      <c r="C2" s="53"/>
      <c r="D2" s="53"/>
      <c r="E2" s="54"/>
      <c r="F2" s="54"/>
      <c r="G2" s="54"/>
      <c r="H2" s="55"/>
      <c r="I2" s="53"/>
      <c r="J2" s="53"/>
      <c r="K2" s="54"/>
      <c r="L2" s="7"/>
      <c r="M2" s="12">
        <f>L2*B2</f>
        <v>0</v>
      </c>
      <c r="N2" s="13">
        <f>3*L2</f>
        <v>0</v>
      </c>
      <c r="O2" s="43"/>
      <c r="P2" s="43"/>
      <c r="Q2" s="43"/>
      <c r="R2" s="43"/>
      <c r="S2" s="43"/>
      <c r="T2" s="43"/>
      <c r="U2" s="43"/>
      <c r="V2" s="43"/>
    </row>
    <row r="3" spans="1:22">
      <c r="A3" s="6" t="s">
        <v>92</v>
      </c>
      <c r="B3" s="7">
        <v>80</v>
      </c>
      <c r="C3" s="56"/>
      <c r="D3" s="56"/>
      <c r="E3" s="57"/>
      <c r="F3" s="57"/>
      <c r="G3" s="57"/>
      <c r="H3" s="56"/>
      <c r="I3" s="56"/>
      <c r="J3" s="56"/>
      <c r="K3" s="57"/>
      <c r="L3" s="7"/>
      <c r="M3" s="12">
        <f t="shared" ref="M3:M4" si="0">L3*B3</f>
        <v>0</v>
      </c>
      <c r="N3" s="13">
        <f>1*L3</f>
        <v>0</v>
      </c>
      <c r="O3" s="43"/>
      <c r="P3" s="43"/>
      <c r="Q3" s="43"/>
      <c r="R3" s="43"/>
      <c r="S3" s="43"/>
      <c r="T3" s="43"/>
      <c r="U3" s="43"/>
      <c r="V3" s="43"/>
    </row>
    <row r="4" spans="1:22">
      <c r="A4" s="6" t="s">
        <v>93</v>
      </c>
      <c r="B4" s="7">
        <v>75</v>
      </c>
      <c r="C4" s="53"/>
      <c r="D4" s="53"/>
      <c r="E4" s="54"/>
      <c r="F4" s="54"/>
      <c r="G4" s="54"/>
      <c r="H4" s="55"/>
      <c r="I4" s="53"/>
      <c r="J4" s="53"/>
      <c r="K4" s="54"/>
      <c r="L4" s="12"/>
      <c r="M4" s="12">
        <f t="shared" si="0"/>
        <v>0</v>
      </c>
      <c r="N4" s="13">
        <f>3*L4</f>
        <v>0</v>
      </c>
      <c r="O4" s="43"/>
      <c r="P4" s="43"/>
      <c r="Q4" s="43"/>
      <c r="R4" s="43"/>
      <c r="S4" s="43"/>
      <c r="T4" s="43"/>
      <c r="U4" s="43"/>
      <c r="V4" s="43"/>
    </row>
    <row r="5" spans="1:22">
      <c r="A5" s="6" t="s">
        <v>94</v>
      </c>
      <c r="B5" s="7">
        <v>50</v>
      </c>
      <c r="C5" s="56"/>
      <c r="D5" s="14"/>
      <c r="E5" s="17"/>
      <c r="F5" s="57"/>
      <c r="G5" s="57"/>
      <c r="H5" s="56"/>
      <c r="I5" s="56"/>
      <c r="J5" s="56"/>
      <c r="K5" s="57"/>
      <c r="L5" s="12"/>
      <c r="M5" s="12">
        <f>L5*B5+(5*D5+5*E5)</f>
        <v>0</v>
      </c>
      <c r="N5" s="13">
        <f>2*L5</f>
        <v>0</v>
      </c>
      <c r="O5" s="43"/>
      <c r="P5" s="43"/>
      <c r="Q5" s="43"/>
      <c r="R5" s="43"/>
      <c r="S5" s="43"/>
      <c r="T5" s="43"/>
      <c r="U5" s="43"/>
      <c r="V5" s="43"/>
    </row>
    <row r="6" spans="1:22">
      <c r="A6" s="6" t="s">
        <v>95</v>
      </c>
      <c r="B6" s="7">
        <v>200</v>
      </c>
      <c r="C6" s="53"/>
      <c r="D6" s="53"/>
      <c r="E6" s="54"/>
      <c r="F6" s="54"/>
      <c r="G6" s="54"/>
      <c r="H6" s="21"/>
      <c r="I6" s="53"/>
      <c r="J6" s="53"/>
      <c r="K6" s="54"/>
      <c r="L6" s="12"/>
      <c r="M6" s="12">
        <f>L6*B6+(10*H6)</f>
        <v>0</v>
      </c>
      <c r="N6" s="13">
        <f>3*L6</f>
        <v>0</v>
      </c>
      <c r="O6" s="43"/>
      <c r="P6" s="43"/>
      <c r="Q6" s="43"/>
      <c r="R6" s="43"/>
      <c r="S6" s="43"/>
      <c r="T6" s="43"/>
      <c r="U6" s="43"/>
      <c r="V6" s="43"/>
    </row>
    <row r="7" spans="1:22">
      <c r="A7" s="6" t="s">
        <v>96</v>
      </c>
      <c r="B7" s="7">
        <v>24</v>
      </c>
      <c r="C7" s="14"/>
      <c r="D7" s="56"/>
      <c r="E7" s="57"/>
      <c r="F7" s="57"/>
      <c r="G7" s="57"/>
      <c r="H7" s="56"/>
      <c r="I7" s="56"/>
      <c r="J7" s="56"/>
      <c r="K7" s="57"/>
      <c r="L7" s="18"/>
      <c r="M7" s="12">
        <f>L7*B7+(1*C7)</f>
        <v>0</v>
      </c>
      <c r="N7" s="13">
        <f>1*L7</f>
        <v>0</v>
      </c>
      <c r="O7" s="28"/>
      <c r="P7" s="28"/>
      <c r="Q7" s="28"/>
      <c r="R7" s="28"/>
      <c r="S7" s="28"/>
      <c r="T7" s="28"/>
      <c r="U7" s="28"/>
      <c r="V7" s="28"/>
    </row>
    <row r="8" spans="1:22">
      <c r="A8" s="6" t="s">
        <v>97</v>
      </c>
      <c r="B8" s="7">
        <v>140</v>
      </c>
      <c r="C8" s="53"/>
      <c r="D8" s="53"/>
      <c r="E8" s="54"/>
      <c r="F8" s="54"/>
      <c r="G8" s="11"/>
      <c r="H8" s="21"/>
      <c r="I8" s="14"/>
      <c r="J8" s="14"/>
      <c r="K8" s="54"/>
      <c r="L8" s="12"/>
      <c r="M8" s="12">
        <f>L8*B8+(20*G8+20*H8+10*I8+10*J8)</f>
        <v>0</v>
      </c>
      <c r="N8" s="13">
        <f>6*L8</f>
        <v>0</v>
      </c>
      <c r="O8" s="43"/>
      <c r="P8" s="43"/>
      <c r="Q8" s="43"/>
      <c r="R8" s="43"/>
      <c r="S8" s="43"/>
      <c r="T8" s="43"/>
      <c r="U8" s="43"/>
      <c r="V8" s="43"/>
    </row>
    <row r="9" spans="1:22">
      <c r="A9" s="6" t="s">
        <v>98</v>
      </c>
      <c r="B9" s="7">
        <v>65</v>
      </c>
      <c r="C9" s="14"/>
      <c r="D9" s="56"/>
      <c r="E9" s="57"/>
      <c r="F9" s="57"/>
      <c r="G9" s="17"/>
      <c r="H9" s="56"/>
      <c r="I9" s="56"/>
      <c r="J9" s="56"/>
      <c r="K9" s="17"/>
      <c r="L9" s="12"/>
      <c r="M9" s="12">
        <f>L9*B9+(1*C9+10*G9+60*K9)</f>
        <v>0</v>
      </c>
      <c r="N9" s="13">
        <f>3*L9</f>
        <v>0</v>
      </c>
      <c r="O9" s="43"/>
      <c r="P9" s="43"/>
      <c r="Q9" s="43"/>
      <c r="R9" s="43"/>
      <c r="S9" s="43"/>
      <c r="T9" s="43"/>
      <c r="U9" s="43"/>
      <c r="V9" s="43"/>
    </row>
    <row r="10" spans="1:22">
      <c r="A10" s="6" t="s">
        <v>99</v>
      </c>
      <c r="B10" s="19">
        <v>25</v>
      </c>
      <c r="C10" s="14"/>
      <c r="D10" s="53"/>
      <c r="E10" s="54"/>
      <c r="F10" s="54"/>
      <c r="G10" s="17"/>
      <c r="H10" s="55"/>
      <c r="I10" s="53"/>
      <c r="J10" s="53"/>
      <c r="K10" s="54"/>
      <c r="L10" s="18"/>
      <c r="M10" s="12">
        <f>L10*B10+(1*C10+6*G10)</f>
        <v>0</v>
      </c>
      <c r="N10" s="13">
        <f>1*L10</f>
        <v>0</v>
      </c>
      <c r="O10" s="28"/>
      <c r="P10" s="28"/>
      <c r="Q10" s="28"/>
      <c r="R10" s="28"/>
      <c r="S10" s="28"/>
      <c r="T10" s="28"/>
      <c r="U10" s="28"/>
      <c r="V10" s="28"/>
    </row>
    <row r="11" spans="1:22">
      <c r="A11" s="6" t="s">
        <v>100</v>
      </c>
      <c r="B11" s="19">
        <v>8</v>
      </c>
      <c r="C11" s="26"/>
      <c r="D11" s="56"/>
      <c r="E11" s="57"/>
      <c r="F11" s="57"/>
      <c r="G11" s="57"/>
      <c r="H11" s="56"/>
      <c r="I11" s="56"/>
      <c r="J11" s="56"/>
      <c r="K11" s="57"/>
      <c r="L11" s="18"/>
      <c r="M11" s="12">
        <f>L11*B11+(1*C11)</f>
        <v>0</v>
      </c>
      <c r="N11" s="22"/>
      <c r="O11" s="28"/>
      <c r="P11" s="28"/>
      <c r="Q11" s="28"/>
      <c r="R11" s="28"/>
      <c r="S11" s="28"/>
      <c r="T11" s="28"/>
      <c r="U11" s="28"/>
      <c r="V11" s="28"/>
    </row>
    <row r="12" spans="1:22">
      <c r="A12" s="6" t="s">
        <v>101</v>
      </c>
      <c r="B12" s="19">
        <v>8</v>
      </c>
      <c r="C12" s="53"/>
      <c r="D12" s="53"/>
      <c r="E12" s="54"/>
      <c r="F12" s="17"/>
      <c r="G12" s="54"/>
      <c r="H12" s="55"/>
      <c r="I12" s="53"/>
      <c r="J12" s="53"/>
      <c r="K12" s="54"/>
      <c r="L12" s="18"/>
      <c r="M12" s="12">
        <f>L12*B12+(25*F12)</f>
        <v>0</v>
      </c>
      <c r="N12" s="22"/>
      <c r="O12" s="28"/>
      <c r="P12" s="28"/>
      <c r="Q12" s="28"/>
      <c r="R12" s="28"/>
      <c r="S12" s="28"/>
      <c r="T12" s="28"/>
      <c r="U12" s="28"/>
      <c r="V12" s="28"/>
    </row>
    <row r="13" spans="1:22">
      <c r="A13" s="3"/>
      <c r="B13" s="35"/>
      <c r="C13" s="43"/>
      <c r="D13" s="43"/>
      <c r="E13" s="28"/>
      <c r="F13" s="28"/>
      <c r="G13" s="28"/>
      <c r="H13" s="43"/>
      <c r="I13" s="43"/>
      <c r="J13" s="43"/>
      <c r="K13" s="28"/>
      <c r="L13" s="29"/>
      <c r="M13" s="27"/>
      <c r="N13" s="22"/>
      <c r="O13" s="43"/>
      <c r="P13" s="43"/>
      <c r="Q13" s="43"/>
      <c r="R13" s="43"/>
      <c r="S13" s="43"/>
      <c r="T13" s="43"/>
      <c r="U13" s="43"/>
      <c r="V13" s="43"/>
    </row>
    <row r="14" spans="1:22" ht="15.75" thickBot="1">
      <c r="A14" s="3"/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7" t="s">
        <v>46</v>
      </c>
      <c r="M14" s="30" t="s">
        <v>47</v>
      </c>
      <c r="N14" s="30" t="s">
        <v>47</v>
      </c>
      <c r="O14" s="28"/>
      <c r="P14" s="28"/>
      <c r="Q14" s="28"/>
      <c r="R14" s="28"/>
      <c r="S14" s="28"/>
      <c r="T14" s="28"/>
      <c r="U14" s="28"/>
      <c r="V14" s="28"/>
    </row>
    <row r="15" spans="1:22" ht="15.75" thickBot="1">
      <c r="A15" s="3"/>
      <c r="B15" s="35"/>
      <c r="C15" s="43"/>
      <c r="D15" s="43"/>
      <c r="E15" s="28"/>
      <c r="F15" s="28"/>
      <c r="G15" s="28"/>
      <c r="H15" s="43"/>
      <c r="I15" s="43"/>
      <c r="J15" s="43"/>
      <c r="K15" s="28"/>
      <c r="L15" s="31">
        <f>SUM(L2:L12)</f>
        <v>0</v>
      </c>
      <c r="M15" s="58">
        <f>SUM(M2:M12)</f>
        <v>0</v>
      </c>
      <c r="N15" s="59">
        <f>SUM(N2:N10)</f>
        <v>0</v>
      </c>
      <c r="O15" s="28"/>
      <c r="P15" s="28"/>
      <c r="Q15" s="28"/>
      <c r="R15" s="28"/>
      <c r="S15" s="28"/>
      <c r="T15" s="28"/>
      <c r="U15" s="28"/>
      <c r="V15" s="28"/>
    </row>
    <row r="16" spans="1:22">
      <c r="A16" s="3"/>
      <c r="B16" s="35"/>
      <c r="C16" s="43"/>
      <c r="D16" s="43"/>
      <c r="E16" s="28"/>
      <c r="F16" s="28"/>
      <c r="G16" s="28"/>
      <c r="H16" s="43"/>
      <c r="I16" s="43"/>
      <c r="J16" s="43"/>
      <c r="K16" s="28"/>
      <c r="L16" s="27"/>
      <c r="M16" s="34"/>
      <c r="N16" s="60"/>
      <c r="O16" s="43"/>
      <c r="P16" s="43"/>
      <c r="Q16" s="43"/>
      <c r="R16" s="43"/>
      <c r="S16" s="43"/>
      <c r="T16" s="43"/>
      <c r="U16" s="43"/>
      <c r="V16" s="43"/>
    </row>
    <row r="17" spans="1:22">
      <c r="A17" s="3"/>
      <c r="B17" s="35"/>
      <c r="C17" s="43"/>
      <c r="D17" s="43"/>
      <c r="E17" s="28"/>
      <c r="F17" s="28"/>
      <c r="G17" s="28"/>
      <c r="H17" s="43"/>
      <c r="I17" s="43"/>
      <c r="J17" s="43"/>
      <c r="K17" s="28"/>
      <c r="L17" s="27" t="s">
        <v>1</v>
      </c>
      <c r="M17" s="36"/>
      <c r="N17" s="60"/>
      <c r="O17" s="43"/>
      <c r="P17" s="43"/>
      <c r="Q17" s="43"/>
      <c r="R17" s="43"/>
      <c r="S17" s="43"/>
      <c r="T17" s="43"/>
      <c r="U17" s="43"/>
      <c r="V17" s="43"/>
    </row>
    <row r="18" spans="1:22">
      <c r="A18" s="3"/>
      <c r="B18" s="35"/>
      <c r="C18" s="28"/>
      <c r="D18" s="28"/>
      <c r="E18" s="28"/>
      <c r="F18" s="28"/>
      <c r="G18" s="28"/>
      <c r="H18" s="28"/>
      <c r="I18" s="28"/>
      <c r="J18" s="28"/>
      <c r="K18" s="28"/>
      <c r="L18" s="37">
        <f>ROUNDUP(L15/3,0)</f>
        <v>0</v>
      </c>
      <c r="M18" s="36"/>
      <c r="N18" s="44"/>
      <c r="O18" s="28"/>
      <c r="P18" s="28"/>
      <c r="Q18" s="28"/>
      <c r="R18" s="28"/>
      <c r="S18" s="28"/>
      <c r="T18" s="28"/>
      <c r="U18" s="28"/>
      <c r="V18" s="28"/>
    </row>
    <row r="19" spans="1:22">
      <c r="A19" s="3"/>
      <c r="B19" s="35"/>
      <c r="C19" s="28"/>
      <c r="D19" s="28"/>
      <c r="E19" s="28"/>
      <c r="F19" s="28"/>
      <c r="G19" s="28"/>
      <c r="H19" s="28"/>
      <c r="I19" s="28"/>
      <c r="J19" s="28"/>
      <c r="K19" s="28"/>
      <c r="L19" s="61"/>
      <c r="M19" s="61"/>
      <c r="N19" s="44"/>
      <c r="O19" s="28"/>
      <c r="P19" s="28"/>
      <c r="Q19" s="28"/>
      <c r="R19" s="28"/>
      <c r="S19" s="28"/>
      <c r="T19" s="28"/>
      <c r="U19" s="28"/>
      <c r="V19" s="28"/>
    </row>
    <row r="20" spans="1:22">
      <c r="A20" s="3"/>
      <c r="B20" s="35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44"/>
      <c r="O20" s="28"/>
      <c r="P20" s="28"/>
      <c r="Q20" s="28"/>
      <c r="R20" s="28"/>
      <c r="S20" s="28"/>
      <c r="T20" s="28"/>
      <c r="U20" s="28"/>
      <c r="V20" s="28"/>
    </row>
    <row r="21" spans="1:22">
      <c r="A21" s="3"/>
      <c r="B21" s="35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44"/>
      <c r="O21" s="28"/>
      <c r="P21" s="28"/>
      <c r="Q21" s="28"/>
      <c r="R21" s="28"/>
      <c r="S21" s="28"/>
      <c r="T21" s="28"/>
      <c r="U21" s="28"/>
      <c r="V21" s="28"/>
    </row>
    <row r="22" spans="1:22">
      <c r="A22" s="2"/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1"/>
      <c r="N22" s="22"/>
      <c r="O22" s="1"/>
      <c r="P22" s="1"/>
      <c r="Q22" s="28"/>
      <c r="R22" s="28"/>
      <c r="S22" s="28"/>
      <c r="T22" s="1"/>
      <c r="U22" s="1"/>
      <c r="V22" s="28"/>
    </row>
    <row r="23" spans="1:22">
      <c r="A23" s="2"/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"/>
      <c r="N23" s="22"/>
      <c r="O23" s="1"/>
      <c r="P23" s="1"/>
      <c r="Q23" s="28"/>
      <c r="R23" s="28"/>
      <c r="S23" s="28"/>
      <c r="T23" s="1"/>
      <c r="U23" s="1"/>
      <c r="V23" s="28"/>
    </row>
    <row r="24" spans="1:22">
      <c r="A24" s="2"/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1"/>
      <c r="N24" s="22"/>
      <c r="O24" s="1"/>
      <c r="P24" s="1"/>
      <c r="Q24" s="28"/>
      <c r="R24" s="28"/>
      <c r="S24" s="28"/>
      <c r="T24" s="1"/>
      <c r="U24" s="1"/>
      <c r="V24" s="28"/>
    </row>
    <row r="25" spans="1:22">
      <c r="A25" s="2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1"/>
      <c r="N25" s="22"/>
      <c r="O25" s="1"/>
      <c r="P25" s="1"/>
      <c r="Q25" s="28"/>
      <c r="R25" s="28"/>
      <c r="S25" s="28"/>
      <c r="T25" s="1"/>
      <c r="U25" s="1"/>
      <c r="V25" s="28"/>
    </row>
    <row r="26" spans="1:22">
      <c r="A26" s="2"/>
      <c r="B26" s="35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1"/>
      <c r="N26" s="22"/>
      <c r="O26" s="1"/>
      <c r="P26" s="1"/>
      <c r="Q26" s="28"/>
      <c r="R26" s="28"/>
      <c r="S26" s="28"/>
      <c r="T26" s="1"/>
      <c r="U26" s="1"/>
      <c r="V26" s="28"/>
    </row>
    <row r="27" spans="1:22">
      <c r="A27" s="2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1"/>
      <c r="N27" s="22"/>
      <c r="O27" s="1"/>
      <c r="P27" s="1"/>
      <c r="Q27" s="28"/>
      <c r="R27" s="28"/>
      <c r="S27" s="28"/>
      <c r="T27" s="1"/>
      <c r="U27" s="1"/>
      <c r="V27" s="28"/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22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2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22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22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2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2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22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22"/>
      <c r="O35" s="1"/>
      <c r="P35" s="1"/>
      <c r="Q35" s="1"/>
      <c r="R35" s="1"/>
      <c r="S35" s="1"/>
      <c r="T35" s="1"/>
      <c r="U35" s="1"/>
      <c r="V35" s="1"/>
    </row>
  </sheetData>
  <hyperlinks>
    <hyperlink ref="A1" location="'Fuerzas de la Luz'!A1" display="Reinos de los hombres: Arnor"/>
  </hyperlinks>
  <pageMargins left="0.7" right="0.7" top="0.75" bottom="0.75" header="0.3" footer="0.3"/>
  <ignoredErrors>
    <ignoredError sqref="N3 N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9" width="3.28515625" customWidth="1"/>
    <col min="10" max="12" width="9.7109375" customWidth="1"/>
  </cols>
  <sheetData>
    <row r="1" spans="1:20" ht="170.1" customHeight="1">
      <c r="A1" s="175" t="s">
        <v>102</v>
      </c>
      <c r="B1" s="4" t="s">
        <v>3</v>
      </c>
      <c r="C1" s="5" t="s">
        <v>4</v>
      </c>
      <c r="D1" s="5" t="s">
        <v>5</v>
      </c>
      <c r="E1" s="5" t="s">
        <v>7</v>
      </c>
      <c r="F1" s="5" t="s">
        <v>10</v>
      </c>
      <c r="G1" s="5" t="s">
        <v>11</v>
      </c>
      <c r="H1" s="5" t="s">
        <v>15</v>
      </c>
      <c r="I1" s="5" t="s">
        <v>14</v>
      </c>
      <c r="J1" s="5" t="s">
        <v>24</v>
      </c>
      <c r="K1" s="5" t="s">
        <v>0</v>
      </c>
      <c r="L1" s="5" t="s">
        <v>25</v>
      </c>
      <c r="M1" s="52"/>
      <c r="N1" s="52"/>
      <c r="O1" s="52"/>
      <c r="P1" s="52"/>
      <c r="Q1" s="52"/>
      <c r="R1" s="52"/>
      <c r="S1" s="52"/>
      <c r="T1" s="52"/>
    </row>
    <row r="2" spans="1:20">
      <c r="A2" s="6" t="s">
        <v>103</v>
      </c>
      <c r="B2" s="7">
        <v>165</v>
      </c>
      <c r="C2" s="14"/>
      <c r="D2" s="62"/>
      <c r="E2" s="63"/>
      <c r="F2" s="63"/>
      <c r="G2" s="17"/>
      <c r="H2" s="64"/>
      <c r="I2" s="62"/>
      <c r="J2" s="7"/>
      <c r="K2" s="12">
        <f>J2*B2+(5*C2+10*G2)</f>
        <v>0</v>
      </c>
      <c r="L2" s="13">
        <f>3*J2</f>
        <v>0</v>
      </c>
      <c r="M2" s="43"/>
      <c r="N2" s="43"/>
      <c r="O2" s="43"/>
      <c r="P2" s="43"/>
      <c r="Q2" s="43"/>
      <c r="R2" s="43"/>
      <c r="S2" s="43"/>
      <c r="T2" s="43"/>
    </row>
    <row r="3" spans="1:20">
      <c r="A3" s="6" t="s">
        <v>104</v>
      </c>
      <c r="B3" s="7">
        <v>100</v>
      </c>
      <c r="C3" s="14"/>
      <c r="D3" s="8"/>
      <c r="E3" s="9"/>
      <c r="F3" s="9"/>
      <c r="G3" s="17"/>
      <c r="H3" s="8"/>
      <c r="I3" s="8"/>
      <c r="J3" s="7"/>
      <c r="K3" s="12">
        <f>J3*B3+(5*C3+10*G3)</f>
        <v>0</v>
      </c>
      <c r="L3" s="13">
        <f>3*J3</f>
        <v>0</v>
      </c>
      <c r="M3" s="43"/>
      <c r="N3" s="43"/>
      <c r="O3" s="43"/>
      <c r="P3" s="43"/>
      <c r="Q3" s="43"/>
      <c r="R3" s="43"/>
      <c r="S3" s="43"/>
      <c r="T3" s="43"/>
    </row>
    <row r="4" spans="1:20">
      <c r="A4" s="6" t="s">
        <v>105</v>
      </c>
      <c r="B4" s="7">
        <v>50</v>
      </c>
      <c r="C4" s="14"/>
      <c r="D4" s="14"/>
      <c r="E4" s="63"/>
      <c r="F4" s="63"/>
      <c r="G4" s="17"/>
      <c r="H4" s="21"/>
      <c r="I4" s="14"/>
      <c r="J4" s="12"/>
      <c r="K4" s="12">
        <f>J4*B4+(5*C4+5*D4+10*G4+5*H4+5*I4)</f>
        <v>0</v>
      </c>
      <c r="L4" s="13">
        <f>2*J4</f>
        <v>0</v>
      </c>
      <c r="M4" s="43"/>
      <c r="N4" s="43"/>
      <c r="O4" s="43"/>
      <c r="P4" s="43"/>
      <c r="Q4" s="43"/>
      <c r="R4" s="43"/>
      <c r="S4" s="43"/>
      <c r="T4" s="43"/>
    </row>
    <row r="5" spans="1:20">
      <c r="A5" s="6" t="s">
        <v>106</v>
      </c>
      <c r="B5" s="7">
        <v>7</v>
      </c>
      <c r="C5" s="26"/>
      <c r="D5" s="26"/>
      <c r="E5" s="17"/>
      <c r="F5" s="17"/>
      <c r="G5" s="9"/>
      <c r="H5" s="8"/>
      <c r="I5" s="8"/>
      <c r="J5" s="12"/>
      <c r="K5" s="12">
        <f>J5*B5+(1*C5+1*D5+1*E5+25*F5)</f>
        <v>0</v>
      </c>
      <c r="L5" s="22"/>
      <c r="M5" s="43"/>
      <c r="N5" s="43"/>
      <c r="O5" s="43"/>
      <c r="P5" s="43"/>
      <c r="Q5" s="43"/>
      <c r="R5" s="43"/>
      <c r="S5" s="43"/>
      <c r="T5" s="43"/>
    </row>
    <row r="6" spans="1:20">
      <c r="A6" s="3"/>
      <c r="B6" s="35"/>
      <c r="C6" s="43"/>
      <c r="D6" s="43"/>
      <c r="E6" s="28"/>
      <c r="F6" s="28"/>
      <c r="G6" s="28"/>
      <c r="H6" s="43"/>
      <c r="I6" s="43"/>
      <c r="J6" s="29"/>
      <c r="K6" s="27"/>
      <c r="L6" s="22"/>
      <c r="M6" s="43"/>
      <c r="N6" s="43"/>
      <c r="O6" s="43"/>
      <c r="P6" s="43"/>
      <c r="Q6" s="43"/>
      <c r="R6" s="43"/>
      <c r="S6" s="43"/>
      <c r="T6" s="43"/>
    </row>
    <row r="7" spans="1:20" ht="15.75" thickBot="1">
      <c r="A7" s="3"/>
      <c r="B7" s="35"/>
      <c r="C7" s="28"/>
      <c r="D7" s="28"/>
      <c r="E7" s="28"/>
      <c r="F7" s="28"/>
      <c r="G7" s="28"/>
      <c r="H7" s="28"/>
      <c r="I7" s="28"/>
      <c r="J7" s="27" t="s">
        <v>46</v>
      </c>
      <c r="K7" s="30" t="s">
        <v>47</v>
      </c>
      <c r="L7" s="30" t="s">
        <v>47</v>
      </c>
      <c r="M7" s="28"/>
      <c r="N7" s="28"/>
      <c r="O7" s="28"/>
      <c r="P7" s="28"/>
      <c r="Q7" s="28"/>
      <c r="R7" s="28"/>
      <c r="S7" s="28"/>
      <c r="T7" s="28"/>
    </row>
    <row r="8" spans="1:20" ht="15.75" thickBot="1">
      <c r="A8" s="3"/>
      <c r="B8" s="35"/>
      <c r="C8" s="43"/>
      <c r="D8" s="43"/>
      <c r="E8" s="28"/>
      <c r="F8" s="28"/>
      <c r="G8" s="28"/>
      <c r="H8" s="43"/>
      <c r="I8" s="43"/>
      <c r="J8" s="31">
        <f>SUM(J2:J5)</f>
        <v>0</v>
      </c>
      <c r="K8" s="58">
        <f>SUM(K2:K5)</f>
        <v>0</v>
      </c>
      <c r="L8" s="59">
        <f>SUM(L2:L4)</f>
        <v>0</v>
      </c>
      <c r="M8" s="43"/>
      <c r="N8" s="43"/>
      <c r="O8" s="43"/>
      <c r="P8" s="43"/>
      <c r="Q8" s="43"/>
      <c r="R8" s="43"/>
      <c r="S8" s="43"/>
      <c r="T8" s="43"/>
    </row>
    <row r="9" spans="1:20">
      <c r="A9" s="3"/>
      <c r="B9" s="35"/>
      <c r="C9" s="43"/>
      <c r="D9" s="43"/>
      <c r="E9" s="28"/>
      <c r="F9" s="28"/>
      <c r="G9" s="28"/>
      <c r="H9" s="43"/>
      <c r="I9" s="43"/>
      <c r="J9" s="27"/>
      <c r="K9" s="34"/>
      <c r="L9" s="22"/>
      <c r="M9" s="43"/>
      <c r="N9" s="43"/>
      <c r="O9" s="43"/>
      <c r="P9" s="43"/>
      <c r="Q9" s="43"/>
      <c r="R9" s="43"/>
      <c r="S9" s="43"/>
      <c r="T9" s="43"/>
    </row>
    <row r="10" spans="1:20">
      <c r="A10" s="3"/>
      <c r="B10" s="35"/>
      <c r="C10" s="28"/>
      <c r="D10" s="28"/>
      <c r="E10" s="28"/>
      <c r="F10" s="28"/>
      <c r="G10" s="28"/>
      <c r="H10" s="28"/>
      <c r="I10" s="28"/>
      <c r="J10" s="27" t="s">
        <v>1</v>
      </c>
      <c r="K10" s="36"/>
      <c r="L10" s="22"/>
      <c r="M10" s="28"/>
      <c r="N10" s="28"/>
      <c r="O10" s="28"/>
      <c r="P10" s="28"/>
      <c r="Q10" s="28"/>
      <c r="R10" s="28"/>
      <c r="S10" s="28"/>
      <c r="T10" s="28"/>
    </row>
    <row r="11" spans="1:20">
      <c r="A11" s="3"/>
      <c r="B11" s="35"/>
      <c r="C11" s="28"/>
      <c r="D11" s="28"/>
      <c r="E11" s="28"/>
      <c r="F11" s="28"/>
      <c r="G11" s="28"/>
      <c r="H11" s="28"/>
      <c r="I11" s="28"/>
      <c r="J11" s="37">
        <f>ROUNDUP(J8/3,0)</f>
        <v>0</v>
      </c>
      <c r="K11" s="36"/>
      <c r="L11" s="22"/>
      <c r="M11" s="28"/>
      <c r="N11" s="28"/>
      <c r="O11" s="28"/>
      <c r="P11" s="28"/>
      <c r="Q11" s="28"/>
      <c r="R11" s="28"/>
      <c r="S11" s="28"/>
      <c r="T11" s="28"/>
    </row>
    <row r="12" spans="1:20">
      <c r="A12" s="3"/>
      <c r="B12" s="35"/>
      <c r="C12" s="28"/>
      <c r="D12" s="28"/>
      <c r="E12" s="28"/>
      <c r="F12" s="28"/>
      <c r="G12" s="28"/>
      <c r="H12" s="28"/>
      <c r="I12" s="28"/>
      <c r="J12" s="28"/>
      <c r="K12" s="61"/>
      <c r="L12" s="22"/>
      <c r="M12" s="28"/>
      <c r="N12" s="28"/>
      <c r="O12" s="28"/>
      <c r="P12" s="28"/>
      <c r="Q12" s="28"/>
      <c r="R12" s="28"/>
      <c r="S12" s="28"/>
      <c r="T12" s="28"/>
    </row>
    <row r="13" spans="1:20">
      <c r="A13" s="3"/>
      <c r="B13" s="35"/>
      <c r="C13" s="43"/>
      <c r="D13" s="43"/>
      <c r="E13" s="28"/>
      <c r="F13" s="28"/>
      <c r="G13" s="28"/>
      <c r="H13" s="43"/>
      <c r="I13" s="43"/>
      <c r="J13" s="43"/>
      <c r="K13" s="28"/>
      <c r="L13" s="22"/>
      <c r="M13" s="43"/>
      <c r="N13" s="43"/>
      <c r="O13" s="43"/>
      <c r="P13" s="43"/>
      <c r="Q13" s="43"/>
      <c r="R13" s="43"/>
      <c r="S13" s="43"/>
      <c r="T13" s="43"/>
    </row>
    <row r="14" spans="1:20">
      <c r="A14" s="3"/>
      <c r="B14" s="35"/>
      <c r="C14" s="28"/>
      <c r="D14" s="28"/>
      <c r="E14" s="28"/>
      <c r="F14" s="28"/>
      <c r="G14" s="28"/>
      <c r="H14" s="28"/>
      <c r="I14" s="28"/>
      <c r="J14" s="28"/>
      <c r="K14" s="28"/>
      <c r="L14" s="22"/>
      <c r="M14" s="28"/>
      <c r="N14" s="28"/>
      <c r="O14" s="28"/>
      <c r="P14" s="28"/>
      <c r="Q14" s="28"/>
      <c r="R14" s="28"/>
      <c r="S14" s="28"/>
      <c r="T14" s="28"/>
    </row>
    <row r="15" spans="1:20">
      <c r="A15" s="3"/>
      <c r="B15" s="35"/>
      <c r="C15" s="43"/>
      <c r="D15" s="43"/>
      <c r="E15" s="28"/>
      <c r="F15" s="28"/>
      <c r="G15" s="28"/>
      <c r="H15" s="43"/>
      <c r="I15" s="43"/>
      <c r="J15" s="43"/>
      <c r="K15" s="28"/>
      <c r="L15" s="22"/>
      <c r="M15" s="28"/>
      <c r="N15" s="28"/>
      <c r="O15" s="28"/>
      <c r="P15" s="28"/>
      <c r="Q15" s="28"/>
      <c r="R15" s="28"/>
      <c r="S15" s="28"/>
      <c r="T15" s="28"/>
    </row>
    <row r="16" spans="1:20">
      <c r="A16" s="3"/>
      <c r="B16" s="35"/>
      <c r="C16" s="43"/>
      <c r="D16" s="43"/>
      <c r="E16" s="28"/>
      <c r="F16" s="28"/>
      <c r="G16" s="28"/>
      <c r="H16" s="43"/>
      <c r="I16" s="43"/>
      <c r="J16" s="43"/>
      <c r="K16" s="28"/>
      <c r="L16" s="60"/>
      <c r="M16" s="43"/>
      <c r="N16" s="43"/>
      <c r="O16" s="43"/>
      <c r="P16" s="43"/>
      <c r="Q16" s="43"/>
      <c r="R16" s="43"/>
      <c r="S16" s="43"/>
      <c r="T16" s="43"/>
    </row>
    <row r="17" spans="1:20">
      <c r="A17" s="3"/>
      <c r="B17" s="35"/>
      <c r="C17" s="43"/>
      <c r="D17" s="43"/>
      <c r="E17" s="28"/>
      <c r="F17" s="28"/>
      <c r="G17" s="28"/>
      <c r="H17" s="43"/>
      <c r="I17" s="43"/>
      <c r="J17" s="43"/>
      <c r="K17" s="28"/>
      <c r="L17" s="60"/>
      <c r="M17" s="43"/>
      <c r="N17" s="43"/>
      <c r="O17" s="43"/>
      <c r="P17" s="43"/>
      <c r="Q17" s="43"/>
      <c r="R17" s="43"/>
      <c r="S17" s="43"/>
      <c r="T17" s="43"/>
    </row>
    <row r="18" spans="1:20">
      <c r="A18" s="3"/>
      <c r="B18" s="35"/>
      <c r="C18" s="28"/>
      <c r="D18" s="28"/>
      <c r="E18" s="28"/>
      <c r="F18" s="28"/>
      <c r="G18" s="28"/>
      <c r="H18" s="28"/>
      <c r="I18" s="28"/>
      <c r="J18" s="28"/>
      <c r="K18" s="28"/>
      <c r="L18" s="44"/>
      <c r="M18" s="28"/>
      <c r="N18" s="28"/>
      <c r="O18" s="28"/>
      <c r="P18" s="28"/>
      <c r="Q18" s="28"/>
      <c r="R18" s="28"/>
      <c r="S18" s="28"/>
      <c r="T18" s="28"/>
    </row>
    <row r="19" spans="1:20">
      <c r="A19" s="3"/>
      <c r="B19" s="35"/>
      <c r="C19" s="28"/>
      <c r="D19" s="28"/>
      <c r="E19" s="28"/>
      <c r="F19" s="28"/>
      <c r="G19" s="28"/>
      <c r="H19" s="28"/>
      <c r="I19" s="28"/>
      <c r="J19" s="28"/>
      <c r="K19" s="28"/>
      <c r="L19" s="44"/>
      <c r="M19" s="28"/>
      <c r="N19" s="28"/>
      <c r="O19" s="28"/>
      <c r="P19" s="28"/>
      <c r="Q19" s="28"/>
      <c r="R19" s="28"/>
      <c r="S19" s="28"/>
      <c r="T19" s="28"/>
    </row>
    <row r="20" spans="1:20">
      <c r="A20" s="3"/>
      <c r="B20" s="35"/>
      <c r="C20" s="28"/>
      <c r="D20" s="28"/>
      <c r="E20" s="28"/>
      <c r="F20" s="28"/>
      <c r="G20" s="28"/>
      <c r="H20" s="28"/>
      <c r="I20" s="28"/>
      <c r="J20" s="28"/>
      <c r="K20" s="28"/>
      <c r="L20" s="44"/>
      <c r="M20" s="28"/>
      <c r="N20" s="28"/>
      <c r="O20" s="28"/>
      <c r="P20" s="28"/>
      <c r="Q20" s="28"/>
      <c r="R20" s="28"/>
      <c r="S20" s="28"/>
      <c r="T20" s="28"/>
    </row>
    <row r="21" spans="1:20">
      <c r="A21" s="3"/>
      <c r="B21" s="35"/>
      <c r="C21" s="28"/>
      <c r="D21" s="28"/>
      <c r="E21" s="28"/>
      <c r="F21" s="28"/>
      <c r="G21" s="28"/>
      <c r="H21" s="28"/>
      <c r="I21" s="28"/>
      <c r="J21" s="28"/>
      <c r="K21" s="28"/>
      <c r="L21" s="44"/>
      <c r="M21" s="28"/>
      <c r="N21" s="28"/>
      <c r="O21" s="28"/>
      <c r="P21" s="28"/>
      <c r="Q21" s="28"/>
      <c r="R21" s="28"/>
      <c r="S21" s="28"/>
      <c r="T21" s="28"/>
    </row>
    <row r="22" spans="1:20">
      <c r="A22" s="2"/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44"/>
      <c r="M22" s="1"/>
      <c r="N22" s="1"/>
      <c r="O22" s="1"/>
      <c r="P22" s="1"/>
      <c r="Q22" s="28"/>
      <c r="R22" s="28"/>
      <c r="S22" s="28"/>
      <c r="T22" s="1"/>
    </row>
    <row r="23" spans="1:20">
      <c r="A23" s="2"/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44"/>
      <c r="M23" s="1"/>
      <c r="N23" s="1"/>
      <c r="O23" s="1"/>
      <c r="P23" s="1"/>
      <c r="Q23" s="28"/>
      <c r="R23" s="28"/>
      <c r="S23" s="28"/>
      <c r="T23" s="1"/>
    </row>
    <row r="24" spans="1:20">
      <c r="A24" s="2"/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44"/>
      <c r="M24" s="1"/>
      <c r="N24" s="1"/>
      <c r="O24" s="1"/>
      <c r="P24" s="1"/>
      <c r="Q24" s="28"/>
      <c r="R24" s="28"/>
      <c r="S24" s="28"/>
      <c r="T24" s="1"/>
    </row>
    <row r="25" spans="1:20">
      <c r="A25" s="2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44"/>
      <c r="M25" s="1"/>
      <c r="N25" s="1"/>
      <c r="O25" s="1"/>
      <c r="P25" s="1"/>
      <c r="Q25" s="28"/>
      <c r="R25" s="28"/>
      <c r="S25" s="28"/>
      <c r="T25" s="1"/>
    </row>
    <row r="26" spans="1:20">
      <c r="A26" s="2"/>
      <c r="B26" s="35"/>
      <c r="C26" s="28"/>
      <c r="D26" s="28"/>
      <c r="E26" s="28"/>
      <c r="F26" s="28"/>
      <c r="G26" s="28"/>
      <c r="H26" s="28"/>
      <c r="I26" s="28"/>
      <c r="J26" s="28"/>
      <c r="K26" s="28"/>
      <c r="L26" s="44"/>
      <c r="M26" s="1"/>
      <c r="N26" s="1"/>
      <c r="O26" s="1"/>
      <c r="P26" s="1"/>
      <c r="Q26" s="28"/>
      <c r="R26" s="28"/>
      <c r="S26" s="28"/>
      <c r="T26" s="1"/>
    </row>
    <row r="27" spans="1:20">
      <c r="A27" s="2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44"/>
      <c r="M27" s="1"/>
      <c r="N27" s="1"/>
      <c r="O27" s="1"/>
      <c r="P27" s="1"/>
      <c r="Q27" s="28"/>
      <c r="R27" s="28"/>
      <c r="S27" s="28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2"/>
      <c r="M28" s="1"/>
      <c r="N28" s="1"/>
      <c r="O28" s="1"/>
      <c r="P28" s="1"/>
      <c r="Q28" s="1"/>
      <c r="R28" s="1"/>
      <c r="S28" s="1"/>
      <c r="T28" s="1"/>
    </row>
  </sheetData>
  <hyperlinks>
    <hyperlink ref="A1" location="'Fuerzas de la Luz'!A1" display="Reinos de los hombres: Númeno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Z44"/>
  <sheetViews>
    <sheetView workbookViewId="0">
      <pane ySplit="1" topLeftCell="A2" activePane="bottomLeft" state="frozen"/>
      <selection pane="bottomLeft"/>
    </sheetView>
  </sheetViews>
  <sheetFormatPr baseColWidth="10" defaultRowHeight="15"/>
  <cols>
    <col min="1" max="1" width="34.28515625" customWidth="1"/>
    <col min="2" max="2" width="9.7109375" customWidth="1"/>
    <col min="3" max="15" width="3.28515625" customWidth="1"/>
    <col min="16" max="18" width="9.7109375" customWidth="1"/>
  </cols>
  <sheetData>
    <row r="1" spans="1:26" ht="170.1" customHeight="1">
      <c r="A1" s="175" t="s">
        <v>107</v>
      </c>
      <c r="B1" s="4" t="s">
        <v>3</v>
      </c>
      <c r="C1" s="5" t="s">
        <v>4</v>
      </c>
      <c r="D1" s="5" t="s">
        <v>108</v>
      </c>
      <c r="E1" s="5" t="s">
        <v>109</v>
      </c>
      <c r="F1" s="5" t="s">
        <v>89</v>
      </c>
      <c r="G1" s="5" t="s">
        <v>110</v>
      </c>
      <c r="H1" s="5" t="s">
        <v>111</v>
      </c>
      <c r="I1" s="5" t="s">
        <v>10</v>
      </c>
      <c r="J1" s="5" t="s">
        <v>112</v>
      </c>
      <c r="K1" s="5" t="s">
        <v>12</v>
      </c>
      <c r="L1" s="5" t="s">
        <v>17</v>
      </c>
      <c r="M1" s="5" t="s">
        <v>14</v>
      </c>
      <c r="N1" s="5" t="s">
        <v>113</v>
      </c>
      <c r="O1" s="5" t="s">
        <v>114</v>
      </c>
      <c r="P1" s="5" t="s">
        <v>24</v>
      </c>
      <c r="Q1" s="5" t="s">
        <v>0</v>
      </c>
      <c r="R1" s="5" t="s">
        <v>25</v>
      </c>
      <c r="S1" s="52"/>
      <c r="T1" s="52"/>
      <c r="U1" s="52"/>
      <c r="V1" s="52"/>
      <c r="W1" s="1"/>
      <c r="X1" s="1"/>
      <c r="Y1" s="1"/>
      <c r="Z1" s="1"/>
    </row>
    <row r="2" spans="1:26">
      <c r="A2" s="6" t="s">
        <v>115</v>
      </c>
      <c r="B2" s="7">
        <v>170</v>
      </c>
      <c r="C2" s="65"/>
      <c r="D2" s="65"/>
      <c r="E2" s="66"/>
      <c r="F2" s="66"/>
      <c r="G2" s="66"/>
      <c r="H2" s="65"/>
      <c r="I2" s="65"/>
      <c r="J2" s="65"/>
      <c r="K2" s="66"/>
      <c r="L2" s="65"/>
      <c r="M2" s="65"/>
      <c r="N2" s="65"/>
      <c r="O2" s="66"/>
      <c r="P2" s="7"/>
      <c r="Q2" s="12">
        <f>P2*B2</f>
        <v>0</v>
      </c>
      <c r="R2" s="13">
        <f>3*P2</f>
        <v>0</v>
      </c>
      <c r="S2" s="43"/>
      <c r="T2" s="43"/>
      <c r="U2" s="43"/>
      <c r="V2" s="43"/>
      <c r="W2" s="1"/>
      <c r="X2" s="1"/>
      <c r="Y2" s="1"/>
      <c r="Z2" s="1"/>
    </row>
    <row r="3" spans="1:26">
      <c r="A3" s="6" t="s">
        <v>116</v>
      </c>
      <c r="B3" s="7">
        <v>205</v>
      </c>
      <c r="C3" s="67"/>
      <c r="D3" s="67"/>
      <c r="E3" s="68"/>
      <c r="F3" s="68"/>
      <c r="G3" s="68"/>
      <c r="H3" s="67"/>
      <c r="I3" s="67"/>
      <c r="J3" s="67"/>
      <c r="K3" s="68"/>
      <c r="L3" s="67"/>
      <c r="M3" s="67"/>
      <c r="N3" s="67"/>
      <c r="O3" s="68"/>
      <c r="P3" s="7"/>
      <c r="Q3" s="12">
        <f>P3*B3</f>
        <v>0</v>
      </c>
      <c r="R3" s="13">
        <f>3*P3</f>
        <v>0</v>
      </c>
      <c r="S3" s="43"/>
      <c r="T3" s="43"/>
      <c r="U3" s="43"/>
      <c r="V3" s="43"/>
      <c r="W3" s="1"/>
      <c r="X3" s="1"/>
      <c r="Y3" s="1"/>
      <c r="Z3" s="1"/>
    </row>
    <row r="4" spans="1:26">
      <c r="A4" s="6" t="s">
        <v>117</v>
      </c>
      <c r="B4" s="7">
        <v>140</v>
      </c>
      <c r="C4" s="48"/>
      <c r="D4" s="65"/>
      <c r="E4" s="66"/>
      <c r="F4" s="66"/>
      <c r="G4" s="66"/>
      <c r="H4" s="65"/>
      <c r="I4" s="65"/>
      <c r="J4" s="65"/>
      <c r="K4" s="37"/>
      <c r="L4" s="65"/>
      <c r="M4" s="65"/>
      <c r="N4" s="65"/>
      <c r="O4" s="66"/>
      <c r="P4" s="12"/>
      <c r="Q4" s="12">
        <f>P4*B4+(5*C4+15*K4)</f>
        <v>0</v>
      </c>
      <c r="R4" s="13">
        <f>3*P4</f>
        <v>0</v>
      </c>
      <c r="S4" s="43"/>
      <c r="T4" s="43"/>
      <c r="U4" s="43"/>
      <c r="V4" s="43"/>
      <c r="W4" s="1"/>
      <c r="X4" s="1"/>
      <c r="Y4" s="1"/>
      <c r="Z4" s="1"/>
    </row>
    <row r="5" spans="1:26">
      <c r="A5" s="6" t="s">
        <v>118</v>
      </c>
      <c r="B5" s="7">
        <v>80</v>
      </c>
      <c r="C5" s="67"/>
      <c r="D5" s="67"/>
      <c r="E5" s="68"/>
      <c r="F5" s="68"/>
      <c r="G5" s="68"/>
      <c r="H5" s="67"/>
      <c r="I5" s="67"/>
      <c r="J5" s="67"/>
      <c r="K5" s="68"/>
      <c r="L5" s="48"/>
      <c r="M5" s="67"/>
      <c r="N5" s="67"/>
      <c r="O5" s="68"/>
      <c r="P5" s="12"/>
      <c r="Q5" s="12">
        <f>P5*B5+(10*L5)</f>
        <v>0</v>
      </c>
      <c r="R5" s="13">
        <f>1*P5</f>
        <v>0</v>
      </c>
      <c r="S5" s="43"/>
      <c r="T5" s="43"/>
      <c r="U5" s="43"/>
      <c r="V5" s="43"/>
      <c r="W5" s="1"/>
      <c r="X5" s="1"/>
      <c r="Y5" s="1"/>
      <c r="Z5" s="1"/>
    </row>
    <row r="6" spans="1:26">
      <c r="A6" s="6" t="s">
        <v>119</v>
      </c>
      <c r="B6" s="7">
        <v>90</v>
      </c>
      <c r="C6" s="65"/>
      <c r="D6" s="65"/>
      <c r="E6" s="66"/>
      <c r="F6" s="66"/>
      <c r="G6" s="66"/>
      <c r="H6" s="65"/>
      <c r="I6" s="65"/>
      <c r="J6" s="65"/>
      <c r="K6" s="66"/>
      <c r="L6" s="65"/>
      <c r="M6" s="65"/>
      <c r="N6" s="65"/>
      <c r="O6" s="66"/>
      <c r="P6" s="12"/>
      <c r="Q6" s="12">
        <f>P6*B6</f>
        <v>0</v>
      </c>
      <c r="R6" s="13">
        <f>1*P6</f>
        <v>0</v>
      </c>
      <c r="S6" s="43"/>
      <c r="T6" s="43"/>
      <c r="U6" s="43"/>
      <c r="V6" s="43"/>
      <c r="W6" s="1"/>
      <c r="X6" s="1"/>
      <c r="Y6" s="1"/>
      <c r="Z6" s="1"/>
    </row>
    <row r="7" spans="1:26">
      <c r="A7" s="6" t="s">
        <v>97</v>
      </c>
      <c r="B7" s="7">
        <v>140</v>
      </c>
      <c r="C7" s="67"/>
      <c r="D7" s="48"/>
      <c r="E7" s="68"/>
      <c r="F7" s="68"/>
      <c r="G7" s="68"/>
      <c r="H7" s="67"/>
      <c r="I7" s="67"/>
      <c r="J7" s="48"/>
      <c r="K7" s="68"/>
      <c r="L7" s="48"/>
      <c r="M7" s="48"/>
      <c r="N7" s="67"/>
      <c r="O7" s="68"/>
      <c r="P7" s="18"/>
      <c r="Q7" s="12">
        <f>P7*B7 + (10*D7+20*J7+20*L7+10*M7)</f>
        <v>0</v>
      </c>
      <c r="R7" s="13">
        <f>6*P7</f>
        <v>0</v>
      </c>
      <c r="S7" s="43"/>
      <c r="T7" s="43"/>
      <c r="U7" s="43"/>
      <c r="V7" s="43"/>
      <c r="W7" s="1"/>
      <c r="X7" s="1"/>
      <c r="Y7" s="1"/>
      <c r="Z7" s="1"/>
    </row>
    <row r="8" spans="1:26">
      <c r="A8" s="6" t="s">
        <v>120</v>
      </c>
      <c r="B8" s="7">
        <v>60</v>
      </c>
      <c r="C8" s="65"/>
      <c r="D8" s="65"/>
      <c r="E8" s="66"/>
      <c r="F8" s="66"/>
      <c r="G8" s="66"/>
      <c r="H8" s="65"/>
      <c r="I8" s="65"/>
      <c r="J8" s="45"/>
      <c r="K8" s="66"/>
      <c r="L8" s="48"/>
      <c r="M8" s="65"/>
      <c r="N8" s="65"/>
      <c r="O8" s="66"/>
      <c r="P8" s="12"/>
      <c r="Q8" s="12">
        <f>P8*B8+(10*J8+10*L8)</f>
        <v>0</v>
      </c>
      <c r="R8" s="13">
        <f>1*P8</f>
        <v>0</v>
      </c>
      <c r="S8" s="43"/>
      <c r="T8" s="43"/>
      <c r="U8" s="43"/>
      <c r="V8" s="43"/>
      <c r="W8" s="1"/>
      <c r="X8" s="1"/>
      <c r="Y8" s="1"/>
      <c r="Z8" s="1"/>
    </row>
    <row r="9" spans="1:26">
      <c r="A9" s="6" t="s">
        <v>121</v>
      </c>
      <c r="B9" s="7">
        <v>130</v>
      </c>
      <c r="C9" s="67"/>
      <c r="D9" s="67"/>
      <c r="E9" s="68"/>
      <c r="F9" s="68"/>
      <c r="G9" s="68"/>
      <c r="H9" s="67"/>
      <c r="I9" s="67"/>
      <c r="J9" s="48"/>
      <c r="K9" s="68"/>
      <c r="L9" s="67"/>
      <c r="M9" s="67"/>
      <c r="N9" s="48"/>
      <c r="O9" s="68"/>
      <c r="P9" s="12"/>
      <c r="Q9" s="12">
        <f>P9*B9+(10*J9+10*N9)</f>
        <v>0</v>
      </c>
      <c r="R9" s="13">
        <f>3*P9</f>
        <v>0</v>
      </c>
      <c r="S9" s="43"/>
      <c r="T9" s="43"/>
      <c r="U9" s="43"/>
      <c r="V9" s="43"/>
      <c r="W9" s="1"/>
      <c r="X9" s="1"/>
      <c r="Y9" s="1"/>
      <c r="Z9" s="1"/>
    </row>
    <row r="10" spans="1:26">
      <c r="A10" s="6" t="s">
        <v>122</v>
      </c>
      <c r="B10" s="19">
        <v>80</v>
      </c>
      <c r="C10" s="65"/>
      <c r="D10" s="65"/>
      <c r="E10" s="66"/>
      <c r="F10" s="66"/>
      <c r="G10" s="66"/>
      <c r="H10" s="65"/>
      <c r="I10" s="65"/>
      <c r="J10" s="65"/>
      <c r="K10" s="66"/>
      <c r="L10" s="65"/>
      <c r="M10" s="65"/>
      <c r="N10" s="65"/>
      <c r="O10" s="66"/>
      <c r="P10" s="18"/>
      <c r="Q10" s="12">
        <f>P10*B10</f>
        <v>0</v>
      </c>
      <c r="R10" s="13">
        <f>1*P10</f>
        <v>0</v>
      </c>
      <c r="S10" s="43"/>
      <c r="T10" s="43"/>
      <c r="U10" s="43"/>
      <c r="V10" s="43"/>
      <c r="W10" s="1"/>
      <c r="X10" s="1"/>
      <c r="Y10" s="1"/>
      <c r="Z10" s="1"/>
    </row>
    <row r="11" spans="1:26">
      <c r="A11" s="6" t="s">
        <v>123</v>
      </c>
      <c r="B11" s="19">
        <v>60</v>
      </c>
      <c r="C11" s="67"/>
      <c r="D11" s="67"/>
      <c r="E11" s="68"/>
      <c r="F11" s="68"/>
      <c r="G11" s="68"/>
      <c r="H11" s="67"/>
      <c r="I11" s="67"/>
      <c r="J11" s="67"/>
      <c r="K11" s="68"/>
      <c r="L11" s="67"/>
      <c r="M11" s="67"/>
      <c r="N11" s="67"/>
      <c r="O11" s="68"/>
      <c r="P11" s="18"/>
      <c r="Q11" s="12">
        <f>P11*B11</f>
        <v>0</v>
      </c>
      <c r="R11" s="13">
        <f>1*P11</f>
        <v>0</v>
      </c>
      <c r="S11" s="43"/>
      <c r="T11" s="43"/>
      <c r="U11" s="43"/>
      <c r="V11" s="43"/>
      <c r="W11" s="1"/>
      <c r="X11" s="1"/>
      <c r="Y11" s="1"/>
      <c r="Z11" s="1"/>
    </row>
    <row r="12" spans="1:26">
      <c r="A12" s="6" t="s">
        <v>124</v>
      </c>
      <c r="B12" s="19">
        <v>75</v>
      </c>
      <c r="C12" s="45"/>
      <c r="D12" s="45"/>
      <c r="E12" s="66"/>
      <c r="F12" s="66"/>
      <c r="G12" s="66"/>
      <c r="H12" s="65"/>
      <c r="I12" s="65"/>
      <c r="J12" s="48"/>
      <c r="K12" s="66"/>
      <c r="L12" s="65"/>
      <c r="M12" s="65"/>
      <c r="N12" s="65"/>
      <c r="O12" s="66"/>
      <c r="P12" s="18"/>
      <c r="Q12" s="12">
        <f>P12*B12+(5*C12+5*D12+10*J12)</f>
        <v>0</v>
      </c>
      <c r="R12" s="13">
        <f>2*P12</f>
        <v>0</v>
      </c>
      <c r="S12" s="43"/>
      <c r="T12" s="43"/>
      <c r="U12" s="43"/>
      <c r="V12" s="43"/>
      <c r="W12" s="1"/>
      <c r="X12" s="1"/>
      <c r="Y12" s="1"/>
      <c r="Z12" s="1"/>
    </row>
    <row r="13" spans="1:26">
      <c r="A13" s="6" t="s">
        <v>125</v>
      </c>
      <c r="B13" s="7">
        <v>9</v>
      </c>
      <c r="C13" s="48"/>
      <c r="D13" s="45"/>
      <c r="E13" s="69"/>
      <c r="F13" s="69"/>
      <c r="G13" s="37"/>
      <c r="H13" s="70"/>
      <c r="I13" s="48"/>
      <c r="J13" s="67"/>
      <c r="K13" s="68"/>
      <c r="L13" s="67"/>
      <c r="M13" s="67"/>
      <c r="N13" s="67"/>
      <c r="O13" s="68"/>
      <c r="P13" s="12"/>
      <c r="Q13" s="12">
        <f>P13*B13+(1*C13+2*D13+1*E13+1*F13+1*G13+25*I13)</f>
        <v>0</v>
      </c>
      <c r="R13" s="22"/>
      <c r="S13" s="43"/>
      <c r="T13" s="43"/>
      <c r="U13" s="43"/>
      <c r="V13" s="43"/>
      <c r="W13" s="1"/>
      <c r="X13" s="1"/>
      <c r="Y13" s="1"/>
      <c r="Z13" s="1"/>
    </row>
    <row r="14" spans="1:26">
      <c r="A14" s="3" t="s">
        <v>126</v>
      </c>
      <c r="B14" s="35">
        <v>7</v>
      </c>
      <c r="C14" s="65"/>
      <c r="D14" s="48"/>
      <c r="E14" s="37"/>
      <c r="F14" s="37"/>
      <c r="G14" s="66"/>
      <c r="H14" s="48"/>
      <c r="I14" s="48"/>
      <c r="J14" s="65"/>
      <c r="K14" s="66"/>
      <c r="L14" s="48"/>
      <c r="M14" s="65"/>
      <c r="N14" s="65"/>
      <c r="O14" s="37"/>
      <c r="P14" s="71"/>
      <c r="Q14" s="19">
        <f>P14*B14+(2*D14+1*E14+1*F14+1*H14+25*I14+5*L14+2*O14)</f>
        <v>0</v>
      </c>
      <c r="R14" s="22"/>
      <c r="S14" s="43"/>
      <c r="T14" s="43"/>
      <c r="U14" s="43"/>
      <c r="V14" s="43"/>
      <c r="W14" s="1"/>
      <c r="X14" s="1"/>
      <c r="Y14" s="1"/>
      <c r="Z14" s="1"/>
    </row>
    <row r="15" spans="1:26">
      <c r="A15" s="3"/>
      <c r="B15" s="35"/>
      <c r="C15" s="43"/>
      <c r="D15" s="43"/>
      <c r="E15" s="28"/>
      <c r="F15" s="28"/>
      <c r="G15" s="28"/>
      <c r="H15" s="43"/>
      <c r="I15" s="43"/>
      <c r="J15" s="43"/>
      <c r="K15" s="28"/>
      <c r="L15" s="43"/>
      <c r="M15" s="43"/>
      <c r="N15" s="1"/>
      <c r="O15" s="1"/>
      <c r="P15" s="1"/>
      <c r="Q15" s="1"/>
      <c r="R15" s="22"/>
      <c r="S15" s="43"/>
      <c r="T15" s="43"/>
      <c r="U15" s="43"/>
      <c r="V15" s="43"/>
      <c r="W15" s="1"/>
      <c r="X15" s="1"/>
      <c r="Y15" s="1"/>
      <c r="Z15" s="1"/>
    </row>
    <row r="16" spans="1:26" ht="15.75" thickBot="1">
      <c r="A16" s="3"/>
      <c r="B16" s="35"/>
      <c r="C16" s="43"/>
      <c r="D16" s="43"/>
      <c r="E16" s="28"/>
      <c r="F16" s="28"/>
      <c r="G16" s="28"/>
      <c r="H16" s="72"/>
      <c r="I16" s="43"/>
      <c r="J16" s="43"/>
      <c r="K16" s="28"/>
      <c r="L16" s="43"/>
      <c r="M16" s="43"/>
      <c r="N16" s="1"/>
      <c r="O16" s="1"/>
      <c r="P16" s="27" t="s">
        <v>46</v>
      </c>
      <c r="Q16" s="30" t="s">
        <v>47</v>
      </c>
      <c r="R16" s="30" t="s">
        <v>47</v>
      </c>
      <c r="S16" s="43"/>
      <c r="T16" s="43"/>
      <c r="U16" s="43"/>
      <c r="V16" s="43"/>
      <c r="W16" s="1"/>
      <c r="X16" s="1"/>
      <c r="Y16" s="1"/>
      <c r="Z16" s="1"/>
    </row>
    <row r="17" spans="1:26" ht="15.75" thickBot="1">
      <c r="A17" s="3"/>
      <c r="B17" s="35"/>
      <c r="C17" s="43"/>
      <c r="D17" s="43"/>
      <c r="E17" s="28"/>
      <c r="F17" s="28"/>
      <c r="G17" s="28"/>
      <c r="H17" s="43"/>
      <c r="I17" s="43"/>
      <c r="J17" s="43"/>
      <c r="K17" s="28"/>
      <c r="L17" s="43"/>
      <c r="M17" s="43"/>
      <c r="N17" s="1"/>
      <c r="O17" s="1"/>
      <c r="P17" s="31">
        <f>SUM(P2:P14)</f>
        <v>0</v>
      </c>
      <c r="Q17" s="58">
        <f>SUM(Q2:Q14)</f>
        <v>0</v>
      </c>
      <c r="R17" s="59">
        <f>SUM(R2:R12)</f>
        <v>0</v>
      </c>
      <c r="S17" s="43"/>
      <c r="T17" s="43"/>
      <c r="U17" s="43"/>
      <c r="V17" s="43"/>
      <c r="W17" s="27"/>
      <c r="X17" s="2"/>
      <c r="Y17" s="1"/>
      <c r="Z17" s="1"/>
    </row>
    <row r="18" spans="1:26">
      <c r="A18" s="3"/>
      <c r="B18" s="35"/>
      <c r="C18" s="43"/>
      <c r="D18" s="43"/>
      <c r="E18" s="28"/>
      <c r="F18" s="28"/>
      <c r="G18" s="28"/>
      <c r="H18" s="72"/>
      <c r="I18" s="43"/>
      <c r="J18" s="43"/>
      <c r="K18" s="28"/>
      <c r="L18" s="43"/>
      <c r="M18" s="43"/>
      <c r="N18" s="1"/>
      <c r="O18" s="1"/>
      <c r="Q18" s="43"/>
      <c r="R18" s="22"/>
      <c r="S18" s="43"/>
      <c r="T18" s="43"/>
      <c r="U18" s="1"/>
      <c r="V18" s="1"/>
      <c r="W18" s="1"/>
      <c r="X18" s="36"/>
      <c r="Y18" s="1"/>
      <c r="Z18" s="1"/>
    </row>
    <row r="19" spans="1:26">
      <c r="A19" s="3"/>
      <c r="B19" s="35"/>
      <c r="C19" s="43"/>
      <c r="D19" s="43"/>
      <c r="E19" s="28"/>
      <c r="F19" s="28"/>
      <c r="G19" s="28"/>
      <c r="H19" s="43"/>
      <c r="I19" s="43"/>
      <c r="J19" s="43"/>
      <c r="K19" s="28"/>
      <c r="L19" s="43"/>
      <c r="M19" s="43"/>
      <c r="N19" s="44"/>
      <c r="O19" s="1"/>
      <c r="P19" s="27" t="s">
        <v>1</v>
      </c>
      <c r="Q19" s="43"/>
      <c r="R19" s="22"/>
      <c r="S19" s="43"/>
      <c r="T19" s="43"/>
      <c r="U19" s="1"/>
      <c r="V19" s="1"/>
      <c r="W19" s="1"/>
      <c r="X19" s="36"/>
      <c r="Y19" s="1"/>
      <c r="Z19" s="1"/>
    </row>
    <row r="20" spans="1:26">
      <c r="A20" s="3"/>
      <c r="B20" s="35"/>
      <c r="C20" s="43"/>
      <c r="D20" s="43"/>
      <c r="E20" s="28"/>
      <c r="F20" s="28"/>
      <c r="G20" s="28"/>
      <c r="H20" s="72"/>
      <c r="I20" s="43"/>
      <c r="J20" s="43"/>
      <c r="K20" s="28"/>
      <c r="L20" s="43"/>
      <c r="M20" s="43"/>
      <c r="N20" s="43"/>
      <c r="O20" s="43"/>
      <c r="P20" s="37">
        <f>ROUNDUP(P17/3,0)</f>
        <v>0</v>
      </c>
      <c r="Q20" s="43"/>
      <c r="R20" s="60"/>
      <c r="S20" s="43"/>
      <c r="T20" s="43"/>
      <c r="U20" s="1"/>
      <c r="V20" s="1"/>
      <c r="W20" s="1"/>
      <c r="X20" s="35"/>
      <c r="Y20" s="1"/>
      <c r="Z20" s="1"/>
    </row>
    <row r="21" spans="1:26">
      <c r="A21" s="3"/>
      <c r="B21" s="35"/>
      <c r="C21" s="43"/>
      <c r="D21" s="43"/>
      <c r="E21" s="28"/>
      <c r="F21" s="28"/>
      <c r="G21" s="28"/>
      <c r="H21" s="43"/>
      <c r="I21" s="43"/>
      <c r="J21" s="43"/>
      <c r="K21" s="28"/>
      <c r="L21" s="43"/>
      <c r="M21" s="43"/>
      <c r="N21" s="43"/>
      <c r="O21" s="43"/>
      <c r="P21" s="43"/>
      <c r="Q21" s="43"/>
      <c r="R21" s="60"/>
      <c r="S21" s="43"/>
      <c r="T21" s="43"/>
      <c r="U21" s="43"/>
      <c r="V21" s="43"/>
      <c r="W21" s="44"/>
      <c r="X21" s="35"/>
      <c r="Y21" s="1"/>
      <c r="Z21" s="1"/>
    </row>
    <row r="22" spans="1:26">
      <c r="A22" s="2"/>
      <c r="B22" s="27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1"/>
      <c r="N22" s="1"/>
      <c r="O22" s="1"/>
      <c r="P22" s="1"/>
      <c r="Q22" s="28"/>
      <c r="R22" s="44"/>
      <c r="S22" s="28"/>
      <c r="T22" s="1"/>
      <c r="U22" s="1"/>
      <c r="V22" s="28"/>
      <c r="W22" s="29"/>
      <c r="X22" s="27"/>
      <c r="Y22" s="1"/>
      <c r="Z22" s="1"/>
    </row>
    <row r="23" spans="1:26">
      <c r="A23" s="2"/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1"/>
      <c r="N23" s="1"/>
      <c r="O23" s="1"/>
      <c r="P23" s="1"/>
      <c r="Q23" s="28"/>
      <c r="R23" s="44"/>
      <c r="S23" s="28"/>
      <c r="T23" s="1"/>
      <c r="U23" s="1"/>
      <c r="V23" s="28"/>
      <c r="W23" s="1"/>
      <c r="X23" s="1"/>
      <c r="Y23" s="1"/>
      <c r="Z23" s="1"/>
    </row>
    <row r="24" spans="1:26">
      <c r="A24" s="2"/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1"/>
      <c r="N24" s="1"/>
      <c r="O24" s="1"/>
      <c r="P24" s="1"/>
      <c r="Q24" s="28"/>
      <c r="R24" s="44"/>
      <c r="S24" s="28"/>
      <c r="T24" s="1"/>
      <c r="U24" s="1"/>
      <c r="V24" s="28"/>
      <c r="W24" s="1"/>
      <c r="X24" s="1"/>
      <c r="Y24" s="1"/>
      <c r="Z24" s="1"/>
    </row>
    <row r="25" spans="1:26">
      <c r="A25" s="2"/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1"/>
      <c r="N25" s="1"/>
      <c r="O25" s="1"/>
      <c r="P25" s="1"/>
      <c r="Q25" s="28"/>
      <c r="R25" s="44"/>
      <c r="S25" s="28"/>
      <c r="T25" s="1"/>
      <c r="U25" s="1"/>
      <c r="V25" s="28"/>
      <c r="W25" s="1"/>
      <c r="X25" s="1"/>
      <c r="Y25" s="1"/>
      <c r="Z25" s="1"/>
    </row>
    <row r="26" spans="1:26">
      <c r="A26" s="2"/>
      <c r="B26" s="35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1"/>
      <c r="N26" s="1"/>
      <c r="O26" s="1"/>
      <c r="P26" s="1"/>
      <c r="Q26" s="28"/>
      <c r="R26" s="44"/>
      <c r="S26" s="28"/>
      <c r="T26" s="1"/>
      <c r="U26" s="1"/>
      <c r="V26" s="28"/>
      <c r="W26" s="1"/>
      <c r="X26" s="1"/>
      <c r="Y26" s="1"/>
      <c r="Z26" s="1"/>
    </row>
    <row r="27" spans="1:26">
      <c r="A27" s="2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1"/>
      <c r="N27" s="1"/>
      <c r="O27" s="1"/>
      <c r="P27" s="1"/>
      <c r="Q27" s="28"/>
      <c r="R27" s="44"/>
      <c r="S27" s="28"/>
      <c r="T27" s="1"/>
      <c r="U27" s="1"/>
      <c r="V27" s="28"/>
      <c r="W27" s="1"/>
      <c r="X27" s="1"/>
      <c r="Y27" s="1"/>
      <c r="Z27" s="1"/>
    </row>
    <row r="28" spans="1:26">
      <c r="A28" s="2"/>
      <c r="B28" s="2"/>
      <c r="C28" s="36"/>
      <c r="D28" s="36"/>
      <c r="E28" s="36"/>
      <c r="F28" s="36"/>
      <c r="G28" s="28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29"/>
      <c r="S28" s="36"/>
      <c r="T28" s="29"/>
      <c r="U28" s="36"/>
      <c r="V28" s="1"/>
      <c r="W28" s="1"/>
      <c r="X28" s="1"/>
      <c r="Y28" s="1"/>
      <c r="Z28" s="1"/>
    </row>
    <row r="29" spans="1:26">
      <c r="A29" s="2"/>
      <c r="B29" s="2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29"/>
      <c r="S29" s="36"/>
      <c r="T29" s="1"/>
      <c r="U29" s="1"/>
      <c r="V29" s="1"/>
      <c r="W29" s="1"/>
      <c r="X29" s="1"/>
      <c r="Y29" s="1"/>
      <c r="Z29" s="1"/>
    </row>
    <row r="30" spans="1:2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7"/>
      <c r="S30" s="2"/>
      <c r="T30" s="1"/>
      <c r="U30" s="1"/>
      <c r="V30" s="1"/>
      <c r="W30" s="1"/>
      <c r="X30" s="1"/>
      <c r="Y30" s="1"/>
      <c r="Z30" s="1"/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7"/>
      <c r="S31" s="2"/>
      <c r="T31" s="1"/>
      <c r="U31" s="1"/>
      <c r="V31" s="1"/>
      <c r="W31" s="1"/>
      <c r="X31" s="1"/>
      <c r="Y31" s="1"/>
      <c r="Z31" s="1"/>
    </row>
    <row r="32" spans="1:2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7"/>
      <c r="S32" s="2"/>
      <c r="T32" s="1"/>
      <c r="U32" s="1"/>
      <c r="V32" s="1"/>
      <c r="W32" s="1"/>
      <c r="X32" s="1"/>
      <c r="Y32" s="1"/>
      <c r="Z32" s="1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7"/>
      <c r="S33" s="2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2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2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2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2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2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2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2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2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2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2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2"/>
      <c r="S44" s="1"/>
      <c r="T44" s="1"/>
      <c r="U44" s="1"/>
      <c r="V44" s="1"/>
      <c r="W44" s="1"/>
      <c r="X44" s="1"/>
      <c r="Y44" s="1"/>
      <c r="Z44" s="1"/>
    </row>
  </sheetData>
  <hyperlinks>
    <hyperlink ref="A1" location="'Fuerzas de la Luz'!A1" display="Los Pueblos Libres: Eregion y Rivendell"/>
  </hyperlinks>
  <pageMargins left="0.7" right="0.7" top="0.75" bottom="0.75" header="0.3" footer="0.3"/>
  <ignoredErrors>
    <ignoredError sqref="R7 R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Índice</vt:lpstr>
      <vt:lpstr>Fuerzas de la Luz</vt:lpstr>
      <vt:lpstr>Huestes de la Oscuridad</vt:lpstr>
      <vt:lpstr>Minas Tirith</vt:lpstr>
      <vt:lpstr>Los Feudos</vt:lpstr>
      <vt:lpstr>Rohan</vt:lpstr>
      <vt:lpstr>Arnor</vt:lpstr>
      <vt:lpstr>Númenor</vt:lpstr>
      <vt:lpstr>Eregion y Rivendell</vt:lpstr>
      <vt:lpstr>Lothlórien y el Bosque Negro</vt:lpstr>
      <vt:lpstr>El Pueblo de Durin</vt:lpstr>
      <vt:lpstr>La Comarca</vt:lpstr>
      <vt:lpstr>La Comunidad del Anillo</vt:lpstr>
      <vt:lpstr>Los Caminantes Infatigables</vt:lpstr>
      <vt:lpstr>El Concilio Blanco</vt:lpstr>
      <vt:lpstr>El Hobbit Luz</vt:lpstr>
      <vt:lpstr>Mordor</vt:lpstr>
      <vt:lpstr>Isengard</vt:lpstr>
      <vt:lpstr>Harad y Umbar</vt:lpstr>
      <vt:lpstr>Los Reinos del Este</vt:lpstr>
      <vt:lpstr>Moria</vt:lpstr>
      <vt:lpstr>Angmar</vt:lpstr>
      <vt:lpstr>El Hobbit Oscuridad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2017-11-18T22:09:19Z</dcterms:modified>
</cp:coreProperties>
</file>